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tfin-my.sharepoint.com/personal/kaisa_hallia_kt_fi/Documents/Työpöytä/Työn alla/Yleiskirje/Yleiskirje 14-2020/"/>
    </mc:Choice>
  </mc:AlternateContent>
  <xr:revisionPtr revIDLastSave="0" documentId="8_{35845DD5-FA43-4065-8032-F2684B827C38}" xr6:coauthVersionLast="45" xr6:coauthVersionMax="45" xr10:uidLastSave="{00000000-0000-0000-0000-000000000000}"/>
  <bookViews>
    <workbookView xWindow="1960" yWindow="1530" windowWidth="14400" windowHeight="7360" xr2:uid="{2B65A867-60C7-4728-BCE3-8D37FF1D6636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9" i="1" l="1"/>
  <c r="G41" i="1"/>
  <c r="J40" i="1"/>
  <c r="G40" i="1"/>
  <c r="J39" i="1"/>
  <c r="G39" i="1"/>
  <c r="J38" i="1"/>
  <c r="G38" i="1"/>
  <c r="J37" i="1"/>
  <c r="G37" i="1"/>
  <c r="J36" i="1"/>
  <c r="G36" i="1"/>
  <c r="J35" i="1"/>
  <c r="G35" i="1"/>
  <c r="J34" i="1"/>
  <c r="G34" i="1"/>
  <c r="J33" i="1"/>
  <c r="G33" i="1"/>
  <c r="J32" i="1"/>
  <c r="G32" i="1"/>
  <c r="J31" i="1"/>
  <c r="G31" i="1"/>
  <c r="J30" i="1"/>
  <c r="G30" i="1"/>
  <c r="R19" i="1" l="1"/>
  <c r="AK19" i="1"/>
  <c r="J41" i="1" s="1"/>
  <c r="AF19" i="1"/>
  <c r="E41" i="1" s="1"/>
  <c r="AE19" i="1"/>
  <c r="D41" i="1" s="1"/>
  <c r="K19" i="1"/>
  <c r="F19" i="1"/>
  <c r="T18" i="1"/>
  <c r="AG18" i="1"/>
  <c r="F40" i="1" s="1"/>
  <c r="AF18" i="1"/>
  <c r="E40" i="1" s="1"/>
  <c r="AE18" i="1"/>
  <c r="D40" i="1" s="1"/>
  <c r="H18" i="1"/>
  <c r="T17" i="1"/>
  <c r="AG17" i="1"/>
  <c r="F39" i="1" s="1"/>
  <c r="AF17" i="1"/>
  <c r="E39" i="1" s="1"/>
  <c r="AE17" i="1"/>
  <c r="D39" i="1" s="1"/>
  <c r="H17" i="1"/>
  <c r="T16" i="1"/>
  <c r="AG16" i="1"/>
  <c r="F38" i="1" s="1"/>
  <c r="AF16" i="1"/>
  <c r="E38" i="1" s="1"/>
  <c r="AE16" i="1"/>
  <c r="D38" i="1" s="1"/>
  <c r="H16" i="1"/>
  <c r="R15" i="1"/>
  <c r="AF15" i="1"/>
  <c r="E37" i="1" s="1"/>
  <c r="AE15" i="1"/>
  <c r="D37" i="1" s="1"/>
  <c r="F15" i="1"/>
  <c r="R14" i="1"/>
  <c r="AF14" i="1"/>
  <c r="E36" i="1" s="1"/>
  <c r="AE14" i="1"/>
  <c r="D36" i="1" s="1"/>
  <c r="F14" i="1"/>
  <c r="AF13" i="1"/>
  <c r="E35" i="1" s="1"/>
  <c r="AE13" i="1"/>
  <c r="D35" i="1" s="1"/>
  <c r="F13" i="1"/>
  <c r="AG13" i="1" s="1"/>
  <c r="R12" i="1"/>
  <c r="AF12" i="1"/>
  <c r="E34" i="1" s="1"/>
  <c r="AE12" i="1"/>
  <c r="D34" i="1" s="1"/>
  <c r="F12" i="1"/>
  <c r="AF11" i="1"/>
  <c r="E33" i="1" s="1"/>
  <c r="AE11" i="1"/>
  <c r="D33" i="1" s="1"/>
  <c r="F11" i="1"/>
  <c r="AF10" i="1"/>
  <c r="E32" i="1" s="1"/>
  <c r="AE10" i="1"/>
  <c r="D32" i="1" s="1"/>
  <c r="F10" i="1"/>
  <c r="R9" i="1"/>
  <c r="AF9" i="1"/>
  <c r="E31" i="1" s="1"/>
  <c r="AE9" i="1"/>
  <c r="D31" i="1" s="1"/>
  <c r="F9" i="1"/>
  <c r="R8" i="1"/>
  <c r="AF8" i="1"/>
  <c r="E30" i="1" s="1"/>
  <c r="AE8" i="1"/>
  <c r="D30" i="1" s="1"/>
  <c r="F8" i="1"/>
  <c r="AG8" i="1" s="1"/>
  <c r="Z17" i="1" l="1"/>
  <c r="Y17" i="1"/>
  <c r="Y18" i="1"/>
  <c r="Z18" i="1"/>
  <c r="T19" i="1"/>
  <c r="U19" i="1" s="1"/>
  <c r="Y19" i="1"/>
  <c r="Z16" i="1"/>
  <c r="Y16" i="1"/>
  <c r="T9" i="1"/>
  <c r="T15" i="1"/>
  <c r="T14" i="1"/>
  <c r="T12" i="1"/>
  <c r="AG19" i="1"/>
  <c r="AI19" i="1" s="1"/>
  <c r="H14" i="1"/>
  <c r="Z14" i="1" s="1"/>
  <c r="AG12" i="1"/>
  <c r="AI12" i="1" s="1"/>
  <c r="F34" i="1"/>
  <c r="T8" i="1"/>
  <c r="U8" i="1" s="1"/>
  <c r="F30" i="1"/>
  <c r="U16" i="1"/>
  <c r="W16" i="1"/>
  <c r="H9" i="1"/>
  <c r="Y9" i="1" s="1"/>
  <c r="H11" i="1"/>
  <c r="H10" i="1"/>
  <c r="U18" i="1"/>
  <c r="AI13" i="1"/>
  <c r="H8" i="1"/>
  <c r="AI17" i="1"/>
  <c r="AJ17" i="1" s="1"/>
  <c r="AG10" i="1"/>
  <c r="AI10" i="1" s="1"/>
  <c r="AG9" i="1"/>
  <c r="AI9" i="1" s="1"/>
  <c r="R13" i="1"/>
  <c r="H15" i="1"/>
  <c r="AG15" i="1"/>
  <c r="F37" i="1" s="1"/>
  <c r="AI18" i="1"/>
  <c r="H40" i="1" s="1"/>
  <c r="R10" i="1"/>
  <c r="AI16" i="1"/>
  <c r="H38" i="1" s="1"/>
  <c r="AG11" i="1"/>
  <c r="K16" i="1"/>
  <c r="K18" i="1"/>
  <c r="U17" i="1"/>
  <c r="AI8" i="1"/>
  <c r="H12" i="1"/>
  <c r="Z12" i="1" s="1"/>
  <c r="AG14" i="1"/>
  <c r="F36" i="1" s="1"/>
  <c r="H13" i="1"/>
  <c r="K17" i="1"/>
  <c r="F41" i="1" l="1"/>
  <c r="K9" i="1"/>
  <c r="U9" i="1"/>
  <c r="H41" i="1"/>
  <c r="Z10" i="1"/>
  <c r="Y12" i="1"/>
  <c r="Z8" i="1"/>
  <c r="Z13" i="1"/>
  <c r="T10" i="1"/>
  <c r="U10" i="1" s="1"/>
  <c r="Y10" i="1"/>
  <c r="Z11" i="1"/>
  <c r="Y8" i="1"/>
  <c r="Z9" i="1"/>
  <c r="Y14" i="1"/>
  <c r="U14" i="1"/>
  <c r="W14" i="1" s="1"/>
  <c r="Z15" i="1"/>
  <c r="Y15" i="1"/>
  <c r="F35" i="1"/>
  <c r="Y13" i="1"/>
  <c r="K8" i="1"/>
  <c r="H39" i="1"/>
  <c r="W19" i="1"/>
  <c r="H34" i="1"/>
  <c r="K14" i="1"/>
  <c r="H30" i="1"/>
  <c r="W8" i="1"/>
  <c r="W17" i="1"/>
  <c r="I39" i="1"/>
  <c r="W18" i="1"/>
  <c r="W9" i="1"/>
  <c r="F31" i="1"/>
  <c r="H31" i="1"/>
  <c r="K11" i="1"/>
  <c r="F32" i="1"/>
  <c r="K10" i="1"/>
  <c r="T13" i="1"/>
  <c r="H35" i="1" s="1"/>
  <c r="AI14" i="1"/>
  <c r="H36" i="1" s="1"/>
  <c r="AL17" i="1"/>
  <c r="R11" i="1"/>
  <c r="AJ19" i="1"/>
  <c r="AL19" i="1" s="1"/>
  <c r="U12" i="1"/>
  <c r="AI15" i="1"/>
  <c r="H37" i="1" s="1"/>
  <c r="AJ16" i="1"/>
  <c r="I38" i="1" s="1"/>
  <c r="K15" i="1"/>
  <c r="K13" i="1"/>
  <c r="AJ18" i="1"/>
  <c r="I40" i="1" s="1"/>
  <c r="AJ13" i="1"/>
  <c r="AI11" i="1"/>
  <c r="AJ9" i="1"/>
  <c r="AJ12" i="1"/>
  <c r="AL12" i="1"/>
  <c r="AJ8" i="1"/>
  <c r="AL8" i="1" s="1"/>
  <c r="K12" i="1"/>
  <c r="AJ10" i="1"/>
  <c r="U15" i="1"/>
  <c r="I31" i="1" l="1"/>
  <c r="H32" i="1"/>
  <c r="Z20" i="1"/>
  <c r="Q32" i="1" s="1"/>
  <c r="T11" i="1"/>
  <c r="U11" i="1" s="1"/>
  <c r="Y11" i="1"/>
  <c r="Y20" i="1" s="1"/>
  <c r="Q31" i="1" s="1"/>
  <c r="AL18" i="1"/>
  <c r="K40" i="1" s="1"/>
  <c r="W12" i="1"/>
  <c r="K34" i="1" s="1"/>
  <c r="I34" i="1"/>
  <c r="I41" i="1"/>
  <c r="K41" i="1"/>
  <c r="K39" i="1"/>
  <c r="AJ14" i="1"/>
  <c r="I36" i="1" s="1"/>
  <c r="I30" i="1"/>
  <c r="K30" i="1"/>
  <c r="U13" i="1"/>
  <c r="W15" i="1"/>
  <c r="H33" i="1"/>
  <c r="F33" i="1"/>
  <c r="W11" i="1"/>
  <c r="W10" i="1"/>
  <c r="I32" i="1"/>
  <c r="AJ15" i="1"/>
  <c r="I37" i="1" s="1"/>
  <c r="K20" i="1"/>
  <c r="I22" i="1" s="1"/>
  <c r="I24" i="1" s="1"/>
  <c r="AL16" i="1"/>
  <c r="K38" i="1" s="1"/>
  <c r="AL10" i="1"/>
  <c r="AL9" i="1"/>
  <c r="K31" i="1" s="1"/>
  <c r="AJ11" i="1"/>
  <c r="AL13" i="1"/>
  <c r="I33" i="1" l="1"/>
  <c r="R31" i="1"/>
  <c r="Q33" i="1"/>
  <c r="R33" i="1" s="1"/>
  <c r="R32" i="1"/>
  <c r="AL14" i="1"/>
  <c r="K36" i="1" s="1"/>
  <c r="I35" i="1"/>
  <c r="W13" i="1"/>
  <c r="K35" i="1" s="1"/>
  <c r="K32" i="1"/>
  <c r="I23" i="1"/>
  <c r="I25" i="1" s="1"/>
  <c r="Q35" i="1" s="1"/>
  <c r="AL15" i="1"/>
  <c r="K37" i="1" s="1"/>
  <c r="AL11" i="1"/>
  <c r="J24" i="1"/>
  <c r="Q36" i="1" l="1"/>
  <c r="R35" i="1"/>
  <c r="R36" i="1" s="1"/>
  <c r="J23" i="1"/>
  <c r="J25" i="1" s="1"/>
  <c r="W20" i="1"/>
  <c r="J46" i="1" s="1"/>
  <c r="K46" i="1" s="1"/>
  <c r="AL20" i="1"/>
  <c r="K33" i="1"/>
  <c r="K42" i="1" s="1"/>
  <c r="AE22" i="1" l="1"/>
  <c r="AK22" i="1" s="1"/>
  <c r="J45" i="1"/>
  <c r="K45" i="1" s="1"/>
  <c r="J47" i="1"/>
  <c r="K47" i="1" s="1"/>
</calcChain>
</file>

<file path=xl/sharedStrings.xml><?xml version="1.0" encoding="utf-8"?>
<sst xmlns="http://schemas.openxmlformats.org/spreadsheetml/2006/main" count="230" uniqueCount="81">
  <si>
    <t>LS: Yleiskorotuksen, keskitetyn erän ja paikallisen järjestelyerän laskemisen havainnollistaminen</t>
  </si>
  <si>
    <t>Palkkojen muutokset</t>
  </si>
  <si>
    <t>Yleiskorotus</t>
  </si>
  <si>
    <t>Uudet alarajat tulevat voimaan 1.4.2021</t>
  </si>
  <si>
    <t>L3SL3100</t>
  </si>
  <si>
    <t>L3SL3200</t>
  </si>
  <si>
    <t>Palkat euroa 31.3.2021:</t>
  </si>
  <si>
    <t>Palkkojen muutos 1.4.2021: Yleiskorotus</t>
  </si>
  <si>
    <t>Tässä taulukossa on henkilöstön ja palkat maaliskuussa: Tämä palkkasummasta lasketaan yleiskorotus ja muut erät samanaikaisesti</t>
  </si>
  <si>
    <t>TÄSSÄ LASKETAAN PALKAN MUUTOS: YLEISKOROTUSTEN VAIKUTUS</t>
  </si>
  <si>
    <t>Henkilö</t>
  </si>
  <si>
    <t>Hinnoittelutunnus</t>
  </si>
  <si>
    <t>Tehtäväkohtainen palkka</t>
  </si>
  <si>
    <t>Henkilökohtainen lisä</t>
  </si>
  <si>
    <t>Työkokemuslisä</t>
  </si>
  <si>
    <t>Muut varsinaisen palkan lisät</t>
  </si>
  <si>
    <t>Varsinainen palkka</t>
  </si>
  <si>
    <t>Työaikakorvaukset, muut automaattiset lisät (**)</t>
  </si>
  <si>
    <t xml:space="preserve">Toimenpidepalkkiot ja muut ei-automaattiset lisät </t>
  </si>
  <si>
    <t>Kokonaisansio</t>
  </si>
  <si>
    <t>Tehtäväkohtainen palkka, muutos</t>
  </si>
  <si>
    <t>Henkilökohtainen lisä, muutos</t>
  </si>
  <si>
    <t>Työkokemuslisä, muutos</t>
  </si>
  <si>
    <t>Muut varsinaisen palkan lisät, muutos</t>
  </si>
  <si>
    <t>Varsinainen palkka, muutos</t>
  </si>
  <si>
    <t>Työaikakorvaukset, muut automaattiset lisät (**), muutos</t>
  </si>
  <si>
    <t>Toimenpidepalkkiot ja muut ei-automaattiset lisät , muutos</t>
  </si>
  <si>
    <t>Kokonaisansio, muutos</t>
  </si>
  <si>
    <t>Henkilö 1</t>
  </si>
  <si>
    <t>L3SL1100</t>
  </si>
  <si>
    <t>L3SL1100: 1</t>
  </si>
  <si>
    <t>Henkilö 2</t>
  </si>
  <si>
    <t>L3SL1200</t>
  </si>
  <si>
    <t>L3SL1200: 1</t>
  </si>
  <si>
    <t>Henkilö 3</t>
  </si>
  <si>
    <t>L3SL3000</t>
  </si>
  <si>
    <t>L3SL3000: 1</t>
  </si>
  <si>
    <t>L3SL3100: 1</t>
  </si>
  <si>
    <t>Henkilö 4</t>
  </si>
  <si>
    <t>Henkilö 5</t>
  </si>
  <si>
    <t>L3SL3000: 2</t>
  </si>
  <si>
    <t>L3SL3100: 2</t>
  </si>
  <si>
    <t>Henkilö 6</t>
  </si>
  <si>
    <t>L3SL3200: 1</t>
  </si>
  <si>
    <t>Henkilö 7</t>
  </si>
  <si>
    <t>L3SL3000: 3</t>
  </si>
  <si>
    <t>Henkilö 8</t>
  </si>
  <si>
    <t>Henkilö 9</t>
  </si>
  <si>
    <t>L3SL4100</t>
  </si>
  <si>
    <t>L3SL4100: 1</t>
  </si>
  <si>
    <t>Henkilö 10</t>
  </si>
  <si>
    <t>Henkilö 11</t>
  </si>
  <si>
    <t>L3SL4103</t>
  </si>
  <si>
    <t>L3SL4103: 1</t>
  </si>
  <si>
    <t>Henkilö 12</t>
  </si>
  <si>
    <t>%</t>
  </si>
  <si>
    <t>Palkkasumma, josta lasketaan kustannusvaikutus</t>
  </si>
  <si>
    <t>Yleiskorotuksen kustannusvaikutus</t>
  </si>
  <si>
    <t>Yleiskorotuksen kustannusvaikutus voi jäädä alle yhden prosentin, mikäli on palkkatekijöitä, jotka eivät korotu (esim. määrävuosilisä tai sairaaloiden toimenpidepalkkiot)</t>
  </si>
  <si>
    <t>Paikallinen järjestelyerä</t>
  </si>
  <si>
    <t>Huom. Terveyskeskusten lääkäreillä toimenpidepalkkiot korottuvat yleiskorotuksen mukaisesti!</t>
  </si>
  <si>
    <t>Jäljellä</t>
  </si>
  <si>
    <t>Palkat euroa 1.4.2021</t>
  </si>
  <si>
    <t>Tähän taulukkoon summataan yleiskorotus, mahdolliset alarajatarkistukset, suunnattu korotus tehtäväkohtaisiin palkkoihin ja paikallinen järjestelyerä</t>
  </si>
  <si>
    <t>Paikallinen erä</t>
  </si>
  <si>
    <t>Yhteensä</t>
  </si>
  <si>
    <t>Paikallinen tehtävän vaativuusluokka</t>
  </si>
  <si>
    <t>Palkkojen muutos 1.4.2021: Hinnoittelujen alarajojen tarkistus ja kaikki muut muutokset</t>
  </si>
  <si>
    <t>Tehtäväkohtaisten palkkojen aiheuttama kustannus</t>
  </si>
  <si>
    <t>Henkilökohtaisten lisien auttama kustannus</t>
  </si>
  <si>
    <t>Tehtäväkohtaisen palkan muutoksen aiheuttama kustannus</t>
  </si>
  <si>
    <t>Henkilökohtaisen lisän muutoksen aiheuttama kustannus</t>
  </si>
  <si>
    <t>Kustannus</t>
  </si>
  <si>
    <t>Kustannusvaikutus</t>
  </si>
  <si>
    <t>Pitää olla</t>
  </si>
  <si>
    <t>Vähintään 0,5%</t>
  </si>
  <si>
    <t>Enintään 0,3%</t>
  </si>
  <si>
    <t>Pitää tulla</t>
  </si>
  <si>
    <t>Tässä kaikki 0,8 % kustannukseen liittyvät muutokset: Alarajojen tarkistukset, hinnoittelu-uudistuksista johtuvat tehtäväkohtaisten palkkojen korotukset sekä henkilökohtaisen lisien muutokset</t>
  </si>
  <si>
    <t>Alarajatarkistuksiin (ns. kuoppakorotuksiin) ja hinnoittelujen uudistamisiin käytettävä summa</t>
  </si>
  <si>
    <t>Alarajatarkistuksiin (ns. kuoppakorotuksiin), hinnoittelujen uudistukseen sekä paikalliseen järjestelyerään käytettävä summa 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</si>
</sst>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9" fontId="0" fillId="0" borderId="0" xfId="0" applyNumberFormat="1"/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1" fontId="4" fillId="0" borderId="2" xfId="0" applyNumberFormat="1" applyFont="1" applyBorder="1" applyAlignment="1">
      <alignment vertical="top"/>
    </xf>
    <xf numFmtId="1" fontId="4" fillId="0" borderId="3" xfId="0" applyNumberFormat="1" applyFont="1" applyBorder="1" applyAlignment="1">
      <alignment vertical="top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/>
    <xf numFmtId="0" fontId="4" fillId="0" borderId="6" xfId="0" applyFont="1" applyBorder="1"/>
    <xf numFmtId="4" fontId="4" fillId="0" borderId="7" xfId="0" applyNumberFormat="1" applyFont="1" applyBorder="1" applyAlignment="1">
      <alignment horizontal="center"/>
    </xf>
    <xf numFmtId="4" fontId="4" fillId="0" borderId="7" xfId="0" quotePrefix="1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4" fontId="4" fillId="0" borderId="11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0" fontId="0" fillId="2" borderId="0" xfId="0" applyFill="1"/>
    <xf numFmtId="4" fontId="0" fillId="2" borderId="0" xfId="0" applyNumberFormat="1" applyFill="1"/>
    <xf numFmtId="0" fontId="4" fillId="2" borderId="0" xfId="0" applyFont="1" applyFill="1"/>
    <xf numFmtId="164" fontId="0" fillId="2" borderId="0" xfId="0" applyNumberFormat="1" applyFill="1"/>
    <xf numFmtId="2" fontId="0" fillId="0" borderId="0" xfId="0" applyNumberFormat="1"/>
    <xf numFmtId="2" fontId="0" fillId="2" borderId="0" xfId="0" applyNumberFormat="1" applyFill="1"/>
    <xf numFmtId="165" fontId="0" fillId="0" borderId="0" xfId="0" applyNumberFormat="1"/>
    <xf numFmtId="3" fontId="0" fillId="0" borderId="0" xfId="0" applyNumberFormat="1"/>
    <xf numFmtId="3" fontId="0" fillId="2" borderId="0" xfId="0" applyNumberFormat="1" applyFill="1"/>
    <xf numFmtId="166" fontId="4" fillId="0" borderId="7" xfId="0" quotePrefix="1" applyNumberFormat="1" applyFont="1" applyBorder="1" applyAlignment="1">
      <alignment horizontal="center"/>
    </xf>
    <xf numFmtId="0" fontId="4" fillId="0" borderId="14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4" fontId="0" fillId="0" borderId="8" xfId="0" applyNumberFormat="1" applyBorder="1"/>
    <xf numFmtId="4" fontId="0" fillId="0" borderId="10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13" xfId="0" applyNumberFormat="1" applyBorder="1"/>
    <xf numFmtId="4" fontId="0" fillId="0" borderId="12" xfId="0" applyNumberFormat="1" applyBorder="1"/>
    <xf numFmtId="0" fontId="0" fillId="2" borderId="14" xfId="0" applyFill="1" applyBorder="1"/>
    <xf numFmtId="0" fontId="0" fillId="2" borderId="16" xfId="0" applyFill="1" applyBorder="1"/>
    <xf numFmtId="0" fontId="0" fillId="2" borderId="15" xfId="0" applyFill="1" applyBorder="1"/>
    <xf numFmtId="0" fontId="0" fillId="2" borderId="10" xfId="0" applyFill="1" applyBorder="1"/>
    <xf numFmtId="0" fontId="0" fillId="2" borderId="12" xfId="0" applyFill="1" applyBorder="1"/>
    <xf numFmtId="3" fontId="0" fillId="2" borderId="12" xfId="0" applyNumberFormat="1" applyFill="1" applyBorder="1"/>
    <xf numFmtId="4" fontId="0" fillId="2" borderId="16" xfId="0" applyNumberFormat="1" applyFill="1" applyBorder="1" applyAlignment="1">
      <alignment horizontal="center"/>
    </xf>
    <xf numFmtId="10" fontId="0" fillId="2" borderId="16" xfId="0" applyNumberFormat="1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0" fontId="0" fillId="0" borderId="0" xfId="0" applyAlignment="1"/>
    <xf numFmtId="0" fontId="1" fillId="2" borderId="1" xfId="0" applyFont="1" applyFill="1" applyBorder="1"/>
    <xf numFmtId="0" fontId="4" fillId="2" borderId="0" xfId="0" applyFont="1" applyFill="1" applyAlignment="1"/>
    <xf numFmtId="0" fontId="0" fillId="0" borderId="0" xfId="0" applyAlignment="1"/>
    <xf numFmtId="0" fontId="0" fillId="2" borderId="13" xfId="0" applyFill="1" applyBorder="1" applyAlignment="1"/>
    <xf numFmtId="0" fontId="0" fillId="0" borderId="1" xfId="0" applyBorder="1" applyAlignment="1"/>
    <xf numFmtId="0" fontId="4" fillId="2" borderId="8" xfId="0" applyFont="1" applyFill="1" applyBorder="1" applyAlignment="1">
      <alignment vertical="top" wrapText="1"/>
    </xf>
    <xf numFmtId="0" fontId="0" fillId="0" borderId="0" xfId="0" applyBorder="1" applyAlignment="1"/>
    <xf numFmtId="0" fontId="0" fillId="2" borderId="14" xfId="0" applyFill="1" applyBorder="1" applyAlignment="1"/>
    <xf numFmtId="0" fontId="0" fillId="0" borderId="16" xfId="0" applyBorder="1" applyAlignment="1"/>
    <xf numFmtId="0" fontId="0" fillId="2" borderId="0" xfId="0" applyFill="1" applyAlignment="1"/>
    <xf numFmtId="0" fontId="0" fillId="2" borderId="8" xfId="0" applyFill="1" applyBorder="1" applyAlignme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BC9A6-A4E9-4F46-86D4-2AD0BB4CBF0D}">
  <dimension ref="A1:AL47"/>
  <sheetViews>
    <sheetView tabSelected="1" workbookViewId="0"/>
  </sheetViews>
  <sheetFormatPr defaultRowHeight="14.5" x14ac:dyDescent="0.35"/>
  <cols>
    <col min="1" max="1" width="10.453125" bestFit="1" customWidth="1"/>
    <col min="2" max="2" width="17" bestFit="1" customWidth="1"/>
    <col min="3" max="3" width="17" customWidth="1"/>
    <col min="4" max="4" width="19" customWidth="1"/>
    <col min="5" max="6" width="18" customWidth="1"/>
    <col min="7" max="7" width="13.81640625" customWidth="1"/>
    <col min="8" max="8" width="18" customWidth="1"/>
    <col min="9" max="9" width="22.453125" customWidth="1"/>
    <col min="10" max="10" width="21.26953125" customWidth="1"/>
    <col min="11" max="11" width="16.1796875" customWidth="1"/>
    <col min="12" max="12" width="5.81640625" customWidth="1"/>
    <col min="13" max="15" width="16.1796875" customWidth="1"/>
    <col min="16" max="17" width="17.26953125" customWidth="1"/>
    <col min="18" max="18" width="18.7265625" customWidth="1"/>
    <col min="19" max="20" width="16.1796875" customWidth="1"/>
    <col min="21" max="21" width="18.7265625" bestFit="1" customWidth="1"/>
    <col min="22" max="22" width="21.7265625" bestFit="1" customWidth="1"/>
    <col min="23" max="23" width="16.1796875" customWidth="1"/>
    <col min="25" max="25" width="17.81640625" bestFit="1" customWidth="1"/>
    <col min="26" max="26" width="16.7265625" bestFit="1" customWidth="1"/>
    <col min="28" max="28" width="10.453125" bestFit="1" customWidth="1"/>
    <col min="29" max="29" width="19.1796875" bestFit="1" customWidth="1"/>
    <col min="30" max="30" width="27" customWidth="1"/>
    <col min="31" max="31" width="19" customWidth="1"/>
    <col min="32" max="32" width="20.7265625" customWidth="1"/>
    <col min="33" max="33" width="18.453125" bestFit="1" customWidth="1"/>
    <col min="34" max="34" width="14" customWidth="1"/>
    <col min="35" max="35" width="14.81640625" bestFit="1" customWidth="1"/>
    <col min="36" max="36" width="22.453125" customWidth="1"/>
    <col min="37" max="37" width="21.26953125" customWidth="1"/>
    <col min="38" max="38" width="14.81640625" bestFit="1" customWidth="1"/>
  </cols>
  <sheetData>
    <row r="1" spans="1:38" ht="21" x14ac:dyDescent="0.5">
      <c r="A1" s="1" t="s">
        <v>0</v>
      </c>
      <c r="C1" s="2"/>
      <c r="D1" s="2"/>
      <c r="E1" s="2"/>
      <c r="F1" s="2"/>
      <c r="G1" s="2"/>
      <c r="H1" s="2"/>
      <c r="I1" s="2"/>
      <c r="O1" t="s">
        <v>3</v>
      </c>
      <c r="AB1" t="s">
        <v>1</v>
      </c>
    </row>
    <row r="2" spans="1:38" x14ac:dyDescent="0.35">
      <c r="C2" s="2"/>
      <c r="D2" s="2"/>
      <c r="E2" s="2"/>
      <c r="F2" s="2"/>
      <c r="G2" s="2"/>
      <c r="H2" s="2"/>
      <c r="I2" s="2"/>
      <c r="O2" s="3"/>
      <c r="AB2" t="s">
        <v>2</v>
      </c>
    </row>
    <row r="3" spans="1:38" x14ac:dyDescent="0.35">
      <c r="C3" s="2"/>
      <c r="D3" s="2"/>
      <c r="E3" s="2"/>
      <c r="F3" s="2"/>
      <c r="G3" s="2"/>
      <c r="H3" s="2"/>
      <c r="I3" s="2"/>
      <c r="O3" s="3" t="s">
        <v>4</v>
      </c>
      <c r="P3">
        <v>4810.16</v>
      </c>
      <c r="AB3" s="4">
        <v>0.01</v>
      </c>
    </row>
    <row r="4" spans="1:38" x14ac:dyDescent="0.35">
      <c r="C4" s="2"/>
      <c r="D4" s="2"/>
      <c r="E4" s="2"/>
      <c r="F4" s="2"/>
      <c r="G4" s="2"/>
      <c r="H4" s="2"/>
      <c r="I4" s="2"/>
      <c r="O4" s="5" t="s">
        <v>5</v>
      </c>
      <c r="P4">
        <v>5050.67</v>
      </c>
    </row>
    <row r="5" spans="1:38" ht="15.5" x14ac:dyDescent="0.35">
      <c r="C5" s="2"/>
      <c r="D5" s="6" t="s">
        <v>6</v>
      </c>
      <c r="E5" s="7"/>
      <c r="F5" s="7"/>
      <c r="G5" s="7"/>
      <c r="H5" s="7"/>
      <c r="M5" s="6" t="s">
        <v>67</v>
      </c>
      <c r="Q5" s="8"/>
      <c r="R5" s="8"/>
      <c r="S5" s="8"/>
      <c r="T5" s="8"/>
      <c r="AB5" s="6" t="s">
        <v>7</v>
      </c>
      <c r="AD5" s="2"/>
      <c r="AF5" s="7"/>
      <c r="AG5" s="7"/>
      <c r="AH5" s="7"/>
      <c r="AI5" s="7"/>
    </row>
    <row r="6" spans="1:38" ht="15" thickBot="1" x14ac:dyDescent="0.4">
      <c r="A6" s="3" t="s">
        <v>8</v>
      </c>
      <c r="C6" s="2"/>
      <c r="M6" s="59" t="s">
        <v>78</v>
      </c>
      <c r="N6" s="59"/>
      <c r="O6" s="59"/>
      <c r="P6" s="59"/>
      <c r="Q6" s="59"/>
      <c r="R6" s="59"/>
      <c r="S6" s="59"/>
      <c r="T6" s="59"/>
      <c r="U6" s="59"/>
      <c r="V6" s="59"/>
      <c r="W6" s="59"/>
      <c r="AB6" s="59" t="s">
        <v>9</v>
      </c>
      <c r="AC6" s="59"/>
      <c r="AD6" s="59"/>
      <c r="AE6" s="59"/>
      <c r="AF6" s="59"/>
      <c r="AG6" s="59"/>
      <c r="AH6" s="59"/>
      <c r="AI6" s="59"/>
      <c r="AJ6" s="59"/>
      <c r="AK6" s="59"/>
      <c r="AL6" s="59"/>
    </row>
    <row r="7" spans="1:38" ht="52.5" thickBot="1" x14ac:dyDescent="0.4">
      <c r="A7" s="9" t="s">
        <v>10</v>
      </c>
      <c r="B7" s="10" t="s">
        <v>11</v>
      </c>
      <c r="C7" s="11" t="s">
        <v>66</v>
      </c>
      <c r="D7" s="12" t="s">
        <v>12</v>
      </c>
      <c r="E7" s="12" t="s">
        <v>13</v>
      </c>
      <c r="F7" s="12" t="s">
        <v>14</v>
      </c>
      <c r="G7" s="12" t="s">
        <v>15</v>
      </c>
      <c r="H7" s="12" t="s">
        <v>16</v>
      </c>
      <c r="I7" s="12" t="s">
        <v>17</v>
      </c>
      <c r="J7" s="12" t="s">
        <v>18</v>
      </c>
      <c r="K7" s="12" t="s">
        <v>19</v>
      </c>
      <c r="M7" s="9" t="s">
        <v>10</v>
      </c>
      <c r="N7" s="10" t="s">
        <v>11</v>
      </c>
      <c r="O7" s="11" t="s">
        <v>66</v>
      </c>
      <c r="P7" s="12" t="s">
        <v>20</v>
      </c>
      <c r="Q7" s="12" t="s">
        <v>21</v>
      </c>
      <c r="R7" s="12" t="s">
        <v>22</v>
      </c>
      <c r="S7" s="12" t="s">
        <v>23</v>
      </c>
      <c r="T7" s="12" t="s">
        <v>24</v>
      </c>
      <c r="U7" s="12" t="s">
        <v>25</v>
      </c>
      <c r="V7" s="12" t="s">
        <v>26</v>
      </c>
      <c r="W7" s="12" t="s">
        <v>27</v>
      </c>
      <c r="Y7" s="38" t="s">
        <v>70</v>
      </c>
      <c r="Z7" s="39" t="s">
        <v>71</v>
      </c>
      <c r="AB7" s="9" t="s">
        <v>10</v>
      </c>
      <c r="AC7" s="10" t="s">
        <v>11</v>
      </c>
      <c r="AD7" s="11" t="s">
        <v>66</v>
      </c>
      <c r="AE7" s="12" t="s">
        <v>20</v>
      </c>
      <c r="AF7" s="12" t="s">
        <v>21</v>
      </c>
      <c r="AG7" s="12" t="s">
        <v>22</v>
      </c>
      <c r="AH7" s="12" t="s">
        <v>23</v>
      </c>
      <c r="AI7" s="12" t="s">
        <v>24</v>
      </c>
      <c r="AJ7" s="12" t="s">
        <v>25</v>
      </c>
      <c r="AK7" s="12" t="s">
        <v>26</v>
      </c>
      <c r="AL7" s="12" t="s">
        <v>27</v>
      </c>
    </row>
    <row r="8" spans="1:38" x14ac:dyDescent="0.35">
      <c r="A8" s="13" t="s">
        <v>28</v>
      </c>
      <c r="B8" s="14" t="s">
        <v>29</v>
      </c>
      <c r="C8" s="14" t="s">
        <v>30</v>
      </c>
      <c r="D8" s="15">
        <v>6507</v>
      </c>
      <c r="E8" s="15">
        <v>500</v>
      </c>
      <c r="F8" s="15">
        <f>0.08*D8</f>
        <v>520.56000000000006</v>
      </c>
      <c r="G8" s="15">
        <v>50</v>
      </c>
      <c r="H8" s="15">
        <f>SUM(D8:G8)</f>
        <v>7577.56</v>
      </c>
      <c r="I8" s="16">
        <v>1550</v>
      </c>
      <c r="J8" s="17">
        <v>100</v>
      </c>
      <c r="K8" s="18">
        <f>SUM(H8:J8)</f>
        <v>9227.5600000000013</v>
      </c>
      <c r="M8" s="13" t="s">
        <v>28</v>
      </c>
      <c r="N8" s="14" t="s">
        <v>29</v>
      </c>
      <c r="O8" s="14" t="s">
        <v>30</v>
      </c>
      <c r="P8" s="15">
        <v>30</v>
      </c>
      <c r="Q8" s="15">
        <v>0</v>
      </c>
      <c r="R8" s="15">
        <f>0.08*P8</f>
        <v>2.4</v>
      </c>
      <c r="S8" s="15">
        <v>0</v>
      </c>
      <c r="T8" s="15">
        <f>SUM(P8:S8)</f>
        <v>32.4</v>
      </c>
      <c r="U8" s="37">
        <f t="shared" ref="U8:U19" si="0">T8/H8*I8</f>
        <v>6.6274631939568938</v>
      </c>
      <c r="V8" s="17">
        <v>0</v>
      </c>
      <c r="W8" s="18">
        <f>SUM(T8:V8)</f>
        <v>39.027463193956891</v>
      </c>
      <c r="Y8" s="42">
        <f>(P8+R8)/H8*I8+P8+R8</f>
        <v>39.027463193956891</v>
      </c>
      <c r="Z8" s="43">
        <f>Q8/H8*I8+Q8</f>
        <v>0</v>
      </c>
      <c r="AB8" s="13" t="s">
        <v>28</v>
      </c>
      <c r="AC8" s="14" t="s">
        <v>29</v>
      </c>
      <c r="AD8" s="14" t="s">
        <v>30</v>
      </c>
      <c r="AE8" s="15">
        <f t="shared" ref="AE8:AE19" si="1">$AB$3*D8</f>
        <v>65.070000000000007</v>
      </c>
      <c r="AF8" s="15">
        <f t="shared" ref="AF8:AF19" si="2">$AB$3*E8</f>
        <v>5</v>
      </c>
      <c r="AG8" s="15">
        <f t="shared" ref="AG8:AG19" si="3">$AB$3*F8</f>
        <v>5.2056000000000004</v>
      </c>
      <c r="AH8" s="15">
        <v>0</v>
      </c>
      <c r="AI8" s="15">
        <f>SUM(AE8:AH8)</f>
        <v>75.275600000000011</v>
      </c>
      <c r="AJ8" s="16">
        <f t="shared" ref="AJ8:AJ19" si="4">AI8/H8*I8</f>
        <v>15.397724333426593</v>
      </c>
      <c r="AK8" s="17">
        <v>0</v>
      </c>
      <c r="AL8" s="18">
        <f>SUM(AI8:AK8)</f>
        <v>90.673324333426606</v>
      </c>
    </row>
    <row r="9" spans="1:38" x14ac:dyDescent="0.35">
      <c r="A9" s="19" t="s">
        <v>31</v>
      </c>
      <c r="B9" s="20" t="s">
        <v>32</v>
      </c>
      <c r="C9" s="14" t="s">
        <v>33</v>
      </c>
      <c r="D9" s="15">
        <v>5650</v>
      </c>
      <c r="E9" s="15">
        <v>300</v>
      </c>
      <c r="F9" s="15">
        <f>0.08*D9</f>
        <v>452</v>
      </c>
      <c r="G9" s="15">
        <v>0</v>
      </c>
      <c r="H9" s="15">
        <f t="shared" ref="H9:H18" si="5">SUM(D9:G9)</f>
        <v>6402</v>
      </c>
      <c r="I9" s="15">
        <v>800</v>
      </c>
      <c r="J9" s="17">
        <v>52.5</v>
      </c>
      <c r="K9" s="15">
        <f t="shared" ref="K9:K19" si="6">SUM(H9:J9)</f>
        <v>7254.5</v>
      </c>
      <c r="M9" s="19" t="s">
        <v>31</v>
      </c>
      <c r="N9" s="20" t="s">
        <v>32</v>
      </c>
      <c r="O9" s="14" t="s">
        <v>33</v>
      </c>
      <c r="P9" s="15">
        <v>20.27</v>
      </c>
      <c r="Q9" s="15">
        <v>25</v>
      </c>
      <c r="R9" s="15">
        <f>0.08*P9</f>
        <v>1.6215999999999999</v>
      </c>
      <c r="S9" s="15">
        <v>0</v>
      </c>
      <c r="T9" s="15">
        <f t="shared" ref="T9:T19" si="7">SUM(P9:S9)</f>
        <v>46.891599999999997</v>
      </c>
      <c r="U9" s="15">
        <f t="shared" si="0"/>
        <v>5.8596188691034046</v>
      </c>
      <c r="V9" s="17">
        <v>0</v>
      </c>
      <c r="W9" s="15">
        <f t="shared" ref="W9:W19" si="8">SUM(T9:V9)</f>
        <v>52.751218869103404</v>
      </c>
      <c r="Y9" s="40">
        <f>(P9+R9)/H9*I9+P9+R9</f>
        <v>24.627195126522963</v>
      </c>
      <c r="Z9" s="41">
        <f t="shared" ref="Z9:Z19" si="9">Q9/H9*I9+Q9</f>
        <v>28.124023742580444</v>
      </c>
      <c r="AB9" s="19" t="s">
        <v>31</v>
      </c>
      <c r="AC9" s="20" t="s">
        <v>32</v>
      </c>
      <c r="AD9" s="14" t="s">
        <v>33</v>
      </c>
      <c r="AE9" s="15">
        <f t="shared" si="1"/>
        <v>56.5</v>
      </c>
      <c r="AF9" s="15">
        <f t="shared" si="2"/>
        <v>3</v>
      </c>
      <c r="AG9" s="15">
        <f t="shared" si="3"/>
        <v>4.5200000000000005</v>
      </c>
      <c r="AH9" s="15">
        <v>0</v>
      </c>
      <c r="AI9" s="15">
        <f t="shared" ref="AI9:AI19" si="10">SUM(AE9:AH9)</f>
        <v>64.02</v>
      </c>
      <c r="AJ9" s="15">
        <f t="shared" si="4"/>
        <v>8</v>
      </c>
      <c r="AK9" s="17">
        <v>0</v>
      </c>
      <c r="AL9" s="15">
        <f t="shared" ref="AL9:AL19" si="11">SUM(AI9:AK9)</f>
        <v>72.02</v>
      </c>
    </row>
    <row r="10" spans="1:38" x14ac:dyDescent="0.35">
      <c r="A10" s="19" t="s">
        <v>34</v>
      </c>
      <c r="B10" s="20" t="s">
        <v>35</v>
      </c>
      <c r="C10" s="14" t="s">
        <v>36</v>
      </c>
      <c r="D10" s="15">
        <v>4750</v>
      </c>
      <c r="E10" s="15">
        <v>100</v>
      </c>
      <c r="F10" s="15">
        <f>0.03*D10</f>
        <v>142.5</v>
      </c>
      <c r="G10" s="15">
        <v>0</v>
      </c>
      <c r="H10" s="15">
        <f t="shared" si="5"/>
        <v>4992.5</v>
      </c>
      <c r="I10" s="15">
        <v>1250</v>
      </c>
      <c r="J10" s="17">
        <v>0</v>
      </c>
      <c r="K10" s="15">
        <f t="shared" si="6"/>
        <v>6242.5</v>
      </c>
      <c r="M10" s="19" t="s">
        <v>34</v>
      </c>
      <c r="N10" s="20" t="s">
        <v>4</v>
      </c>
      <c r="O10" s="14" t="s">
        <v>37</v>
      </c>
      <c r="P10" s="15">
        <v>12.66</v>
      </c>
      <c r="Q10" s="15">
        <v>0</v>
      </c>
      <c r="R10" s="15">
        <f>0.03*P10</f>
        <v>0.37979999999999997</v>
      </c>
      <c r="S10" s="15">
        <v>0</v>
      </c>
      <c r="T10" s="15">
        <f t="shared" si="7"/>
        <v>13.0398</v>
      </c>
      <c r="U10" s="15">
        <f t="shared" si="0"/>
        <v>3.2648472709063596</v>
      </c>
      <c r="V10" s="17">
        <v>0</v>
      </c>
      <c r="W10" s="15">
        <f t="shared" si="8"/>
        <v>16.304647270906358</v>
      </c>
      <c r="Y10" s="40">
        <f>(P10+R10)/H10*I10+P10+R10</f>
        <v>16.304647270906361</v>
      </c>
      <c r="Z10" s="41">
        <f t="shared" si="9"/>
        <v>0</v>
      </c>
      <c r="AB10" s="19" t="s">
        <v>34</v>
      </c>
      <c r="AC10" s="20" t="s">
        <v>4</v>
      </c>
      <c r="AD10" s="14" t="s">
        <v>37</v>
      </c>
      <c r="AE10" s="15">
        <f t="shared" si="1"/>
        <v>47.5</v>
      </c>
      <c r="AF10" s="15">
        <f t="shared" si="2"/>
        <v>1</v>
      </c>
      <c r="AG10" s="15">
        <f t="shared" si="3"/>
        <v>1.425</v>
      </c>
      <c r="AH10" s="15">
        <v>0</v>
      </c>
      <c r="AI10" s="15">
        <f t="shared" si="10"/>
        <v>49.924999999999997</v>
      </c>
      <c r="AJ10" s="15">
        <f t="shared" si="4"/>
        <v>12.5</v>
      </c>
      <c r="AK10" s="17">
        <v>0</v>
      </c>
      <c r="AL10" s="15">
        <f t="shared" si="11"/>
        <v>62.424999999999997</v>
      </c>
    </row>
    <row r="11" spans="1:38" x14ac:dyDescent="0.35">
      <c r="A11" s="19" t="s">
        <v>38</v>
      </c>
      <c r="B11" s="20" t="s">
        <v>35</v>
      </c>
      <c r="C11" s="14" t="s">
        <v>36</v>
      </c>
      <c r="D11" s="15">
        <v>4750</v>
      </c>
      <c r="E11" s="15">
        <v>0</v>
      </c>
      <c r="F11" s="15">
        <f>0.08*D11</f>
        <v>380</v>
      </c>
      <c r="G11" s="15">
        <v>0</v>
      </c>
      <c r="H11" s="15">
        <f t="shared" si="5"/>
        <v>5130</v>
      </c>
      <c r="I11" s="15">
        <v>750</v>
      </c>
      <c r="J11" s="17">
        <v>0</v>
      </c>
      <c r="K11" s="15">
        <f t="shared" si="6"/>
        <v>5880</v>
      </c>
      <c r="M11" s="19" t="s">
        <v>38</v>
      </c>
      <c r="N11" s="20" t="s">
        <v>4</v>
      </c>
      <c r="O11" s="14" t="s">
        <v>37</v>
      </c>
      <c r="P11" s="15">
        <v>12.66</v>
      </c>
      <c r="Q11" s="15">
        <v>0</v>
      </c>
      <c r="R11" s="15">
        <f>0.08*P11</f>
        <v>1.0127999999999999</v>
      </c>
      <c r="S11" s="15">
        <v>0</v>
      </c>
      <c r="T11" s="15">
        <f t="shared" si="7"/>
        <v>13.672800000000001</v>
      </c>
      <c r="U11" s="15">
        <f t="shared" si="0"/>
        <v>1.9989473684210528</v>
      </c>
      <c r="V11" s="17">
        <v>0</v>
      </c>
      <c r="W11" s="15">
        <f t="shared" si="8"/>
        <v>15.671747368421054</v>
      </c>
      <c r="Y11" s="40">
        <f t="shared" ref="Y11:Y19" si="12">(P11+R11)/H11*I11+P11+R11</f>
        <v>15.671747368421054</v>
      </c>
      <c r="Z11" s="41">
        <f t="shared" si="9"/>
        <v>0</v>
      </c>
      <c r="AB11" s="19" t="s">
        <v>38</v>
      </c>
      <c r="AC11" s="20" t="s">
        <v>4</v>
      </c>
      <c r="AD11" s="14" t="s">
        <v>37</v>
      </c>
      <c r="AE11" s="15">
        <f t="shared" si="1"/>
        <v>47.5</v>
      </c>
      <c r="AF11" s="15">
        <f t="shared" si="2"/>
        <v>0</v>
      </c>
      <c r="AG11" s="15">
        <f t="shared" si="3"/>
        <v>3.8000000000000003</v>
      </c>
      <c r="AH11" s="15">
        <v>0</v>
      </c>
      <c r="AI11" s="15">
        <f t="shared" si="10"/>
        <v>51.3</v>
      </c>
      <c r="AJ11" s="15">
        <f t="shared" si="4"/>
        <v>7.5</v>
      </c>
      <c r="AK11" s="17">
        <v>0</v>
      </c>
      <c r="AL11" s="15">
        <f t="shared" si="11"/>
        <v>58.8</v>
      </c>
    </row>
    <row r="12" spans="1:38" x14ac:dyDescent="0.35">
      <c r="A12" s="19" t="s">
        <v>39</v>
      </c>
      <c r="B12" s="20" t="s">
        <v>35</v>
      </c>
      <c r="C12" s="14" t="s">
        <v>40</v>
      </c>
      <c r="D12" s="15">
        <v>4950</v>
      </c>
      <c r="E12" s="15">
        <v>50</v>
      </c>
      <c r="F12" s="15">
        <f>0.08*D12</f>
        <v>396</v>
      </c>
      <c r="G12" s="15">
        <v>30</v>
      </c>
      <c r="H12" s="15">
        <f t="shared" si="5"/>
        <v>5426</v>
      </c>
      <c r="I12" s="15">
        <v>1800</v>
      </c>
      <c r="J12" s="17">
        <v>250</v>
      </c>
      <c r="K12" s="15">
        <f t="shared" si="6"/>
        <v>7476</v>
      </c>
      <c r="M12" s="19" t="s">
        <v>39</v>
      </c>
      <c r="N12" s="20" t="s">
        <v>4</v>
      </c>
      <c r="O12" s="14" t="s">
        <v>41</v>
      </c>
      <c r="P12" s="15">
        <v>25</v>
      </c>
      <c r="Q12" s="15">
        <v>10</v>
      </c>
      <c r="R12" s="15">
        <f>0.08*P12</f>
        <v>2</v>
      </c>
      <c r="S12" s="15">
        <v>0</v>
      </c>
      <c r="T12" s="15">
        <f t="shared" si="7"/>
        <v>37</v>
      </c>
      <c r="U12" s="15">
        <f t="shared" si="0"/>
        <v>12.274235164025065</v>
      </c>
      <c r="V12" s="17">
        <v>0</v>
      </c>
      <c r="W12" s="15">
        <f t="shared" si="8"/>
        <v>49.274235164025065</v>
      </c>
      <c r="Y12" s="40">
        <f t="shared" si="12"/>
        <v>35.956874308883158</v>
      </c>
      <c r="Z12" s="41">
        <f t="shared" si="9"/>
        <v>13.31736085514191</v>
      </c>
      <c r="AB12" s="19" t="s">
        <v>39</v>
      </c>
      <c r="AC12" s="20" t="s">
        <v>4</v>
      </c>
      <c r="AD12" s="14" t="s">
        <v>41</v>
      </c>
      <c r="AE12" s="15">
        <f t="shared" si="1"/>
        <v>49.5</v>
      </c>
      <c r="AF12" s="15">
        <f t="shared" si="2"/>
        <v>0.5</v>
      </c>
      <c r="AG12" s="15">
        <f t="shared" si="3"/>
        <v>3.96</v>
      </c>
      <c r="AH12" s="15">
        <v>0</v>
      </c>
      <c r="AI12" s="15">
        <f t="shared" si="10"/>
        <v>53.96</v>
      </c>
      <c r="AJ12" s="15">
        <f t="shared" si="4"/>
        <v>17.900479174345744</v>
      </c>
      <c r="AK12" s="17">
        <v>0</v>
      </c>
      <c r="AL12" s="15">
        <f t="shared" si="11"/>
        <v>71.860479174345741</v>
      </c>
    </row>
    <row r="13" spans="1:38" x14ac:dyDescent="0.35">
      <c r="A13" s="19" t="s">
        <v>42</v>
      </c>
      <c r="B13" s="20" t="s">
        <v>35</v>
      </c>
      <c r="C13" s="14" t="s">
        <v>40</v>
      </c>
      <c r="D13" s="15">
        <v>4950</v>
      </c>
      <c r="E13" s="15">
        <v>150</v>
      </c>
      <c r="F13" s="15">
        <f>0.08*D13</f>
        <v>396</v>
      </c>
      <c r="G13" s="15">
        <v>30</v>
      </c>
      <c r="H13" s="15">
        <f t="shared" si="5"/>
        <v>5526</v>
      </c>
      <c r="I13" s="15">
        <v>1750</v>
      </c>
      <c r="J13" s="17">
        <v>0</v>
      </c>
      <c r="K13" s="15">
        <f t="shared" si="6"/>
        <v>7276</v>
      </c>
      <c r="M13" s="19" t="s">
        <v>42</v>
      </c>
      <c r="N13" s="20" t="s">
        <v>5</v>
      </c>
      <c r="O13" s="14" t="s">
        <v>41</v>
      </c>
      <c r="P13" s="15">
        <v>25</v>
      </c>
      <c r="Q13" s="15">
        <v>15</v>
      </c>
      <c r="R13" s="15">
        <f>0.08*P13</f>
        <v>2</v>
      </c>
      <c r="S13" s="15">
        <v>0</v>
      </c>
      <c r="T13" s="15">
        <f t="shared" si="7"/>
        <v>42</v>
      </c>
      <c r="U13" s="15">
        <f t="shared" si="0"/>
        <v>13.300760043431053</v>
      </c>
      <c r="V13" s="17">
        <v>0</v>
      </c>
      <c r="W13" s="15">
        <f t="shared" si="8"/>
        <v>55.300760043431055</v>
      </c>
      <c r="Y13" s="40">
        <f t="shared" si="12"/>
        <v>35.550488599348533</v>
      </c>
      <c r="Z13" s="41">
        <f t="shared" si="9"/>
        <v>19.750271444082518</v>
      </c>
      <c r="AB13" s="19" t="s">
        <v>42</v>
      </c>
      <c r="AC13" s="20" t="s">
        <v>5</v>
      </c>
      <c r="AD13" s="14" t="s">
        <v>41</v>
      </c>
      <c r="AE13" s="15">
        <f t="shared" si="1"/>
        <v>49.5</v>
      </c>
      <c r="AF13" s="15">
        <f t="shared" si="2"/>
        <v>1.5</v>
      </c>
      <c r="AG13" s="15">
        <f t="shared" si="3"/>
        <v>3.96</v>
      </c>
      <c r="AH13" s="15">
        <v>0</v>
      </c>
      <c r="AI13" s="15">
        <f t="shared" si="10"/>
        <v>54.96</v>
      </c>
      <c r="AJ13" s="15">
        <f t="shared" si="4"/>
        <v>17.404994571118351</v>
      </c>
      <c r="AK13" s="17">
        <v>0</v>
      </c>
      <c r="AL13" s="15">
        <f t="shared" si="11"/>
        <v>72.364994571118359</v>
      </c>
    </row>
    <row r="14" spans="1:38" x14ac:dyDescent="0.35">
      <c r="A14" s="19" t="s">
        <v>44</v>
      </c>
      <c r="B14" s="20" t="s">
        <v>35</v>
      </c>
      <c r="C14" s="14" t="s">
        <v>45</v>
      </c>
      <c r="D14" s="15">
        <v>5050</v>
      </c>
      <c r="E14" s="15">
        <v>0</v>
      </c>
      <c r="F14" s="15">
        <f>0.08*D14</f>
        <v>404</v>
      </c>
      <c r="G14" s="15">
        <v>30</v>
      </c>
      <c r="H14" s="15">
        <f t="shared" si="5"/>
        <v>5484</v>
      </c>
      <c r="I14" s="15">
        <v>750</v>
      </c>
      <c r="J14" s="17">
        <v>0</v>
      </c>
      <c r="K14" s="15">
        <f t="shared" si="6"/>
        <v>6234</v>
      </c>
      <c r="M14" s="19" t="s">
        <v>44</v>
      </c>
      <c r="N14" s="20" t="s">
        <v>5</v>
      </c>
      <c r="O14" s="14" t="s">
        <v>43</v>
      </c>
      <c r="P14" s="15">
        <v>125</v>
      </c>
      <c r="Q14" s="15">
        <v>25</v>
      </c>
      <c r="R14" s="15">
        <f>0.08*P14</f>
        <v>10</v>
      </c>
      <c r="S14" s="15">
        <v>0</v>
      </c>
      <c r="T14" s="15">
        <f t="shared" si="7"/>
        <v>160</v>
      </c>
      <c r="U14" s="15">
        <f t="shared" si="0"/>
        <v>21.881838074398249</v>
      </c>
      <c r="V14" s="17">
        <v>0</v>
      </c>
      <c r="W14" s="15">
        <f t="shared" si="8"/>
        <v>181.88183807439825</v>
      </c>
      <c r="Y14" s="40">
        <f t="shared" si="12"/>
        <v>153.46280087527353</v>
      </c>
      <c r="Z14" s="41">
        <f t="shared" si="9"/>
        <v>28.419037199124727</v>
      </c>
      <c r="AB14" s="19" t="s">
        <v>44</v>
      </c>
      <c r="AC14" s="20" t="s">
        <v>5</v>
      </c>
      <c r="AD14" s="14" t="s">
        <v>43</v>
      </c>
      <c r="AE14" s="15">
        <f t="shared" si="1"/>
        <v>50.5</v>
      </c>
      <c r="AF14" s="15">
        <f t="shared" si="2"/>
        <v>0</v>
      </c>
      <c r="AG14" s="15">
        <f t="shared" si="3"/>
        <v>4.04</v>
      </c>
      <c r="AH14" s="15">
        <v>0</v>
      </c>
      <c r="AI14" s="15">
        <f t="shared" si="10"/>
        <v>54.54</v>
      </c>
      <c r="AJ14" s="15">
        <f t="shared" si="4"/>
        <v>7.4589715536105041</v>
      </c>
      <c r="AK14" s="17">
        <v>0</v>
      </c>
      <c r="AL14" s="15">
        <f t="shared" si="11"/>
        <v>61.998971553610502</v>
      </c>
    </row>
    <row r="15" spans="1:38" x14ac:dyDescent="0.35">
      <c r="A15" s="19" t="s">
        <v>46</v>
      </c>
      <c r="B15" s="20" t="s">
        <v>35</v>
      </c>
      <c r="C15" s="14" t="s">
        <v>45</v>
      </c>
      <c r="D15" s="15">
        <v>5050</v>
      </c>
      <c r="E15" s="15">
        <v>100</v>
      </c>
      <c r="F15" s="15">
        <f>0.08*D15</f>
        <v>404</v>
      </c>
      <c r="G15" s="15">
        <v>30</v>
      </c>
      <c r="H15" s="15">
        <f t="shared" si="5"/>
        <v>5584</v>
      </c>
      <c r="I15" s="15">
        <v>650</v>
      </c>
      <c r="J15" s="17">
        <v>0</v>
      </c>
      <c r="K15" s="15">
        <f t="shared" si="6"/>
        <v>6234</v>
      </c>
      <c r="M15" s="19" t="s">
        <v>46</v>
      </c>
      <c r="N15" s="20" t="s">
        <v>5</v>
      </c>
      <c r="O15" s="14" t="s">
        <v>43</v>
      </c>
      <c r="P15" s="15">
        <v>125</v>
      </c>
      <c r="Q15" s="15">
        <v>35</v>
      </c>
      <c r="R15" s="15">
        <f>0.08*P15</f>
        <v>10</v>
      </c>
      <c r="S15" s="15">
        <v>0</v>
      </c>
      <c r="T15" s="15">
        <f t="shared" si="7"/>
        <v>170</v>
      </c>
      <c r="U15" s="15">
        <f t="shared" si="0"/>
        <v>19.78868194842407</v>
      </c>
      <c r="V15" s="17">
        <v>0</v>
      </c>
      <c r="W15" s="15">
        <f t="shared" si="8"/>
        <v>189.78868194842408</v>
      </c>
      <c r="Y15" s="40">
        <f t="shared" si="12"/>
        <v>150.71454154727795</v>
      </c>
      <c r="Z15" s="41">
        <f t="shared" si="9"/>
        <v>39.074140401146131</v>
      </c>
      <c r="AB15" s="19" t="s">
        <v>46</v>
      </c>
      <c r="AC15" s="20" t="s">
        <v>5</v>
      </c>
      <c r="AD15" s="14" t="s">
        <v>43</v>
      </c>
      <c r="AE15" s="15">
        <f t="shared" si="1"/>
        <v>50.5</v>
      </c>
      <c r="AF15" s="15">
        <f t="shared" si="2"/>
        <v>1</v>
      </c>
      <c r="AG15" s="15">
        <f t="shared" si="3"/>
        <v>4.04</v>
      </c>
      <c r="AH15" s="15">
        <v>0</v>
      </c>
      <c r="AI15" s="15">
        <f t="shared" si="10"/>
        <v>55.54</v>
      </c>
      <c r="AJ15" s="15">
        <f t="shared" si="4"/>
        <v>6.4650787965616052</v>
      </c>
      <c r="AK15" s="17">
        <v>0</v>
      </c>
      <c r="AL15" s="15">
        <f t="shared" si="11"/>
        <v>62.005078796561605</v>
      </c>
    </row>
    <row r="16" spans="1:38" x14ac:dyDescent="0.35">
      <c r="A16" s="19" t="s">
        <v>47</v>
      </c>
      <c r="B16" s="20" t="s">
        <v>48</v>
      </c>
      <c r="C16" s="14" t="s">
        <v>49</v>
      </c>
      <c r="D16" s="15">
        <v>3400</v>
      </c>
      <c r="E16" s="15">
        <v>0</v>
      </c>
      <c r="F16" s="15">
        <v>0</v>
      </c>
      <c r="G16" s="15">
        <v>30</v>
      </c>
      <c r="H16" s="15">
        <f t="shared" si="5"/>
        <v>3430</v>
      </c>
      <c r="I16" s="15">
        <v>475</v>
      </c>
      <c r="J16" s="17">
        <v>40.44</v>
      </c>
      <c r="K16" s="15">
        <f t="shared" si="6"/>
        <v>3945.44</v>
      </c>
      <c r="M16" s="19" t="s">
        <v>47</v>
      </c>
      <c r="N16" s="20" t="s">
        <v>48</v>
      </c>
      <c r="O16" s="14" t="s">
        <v>49</v>
      </c>
      <c r="P16" s="15">
        <v>0</v>
      </c>
      <c r="Q16" s="15">
        <v>0</v>
      </c>
      <c r="R16" s="15">
        <v>0</v>
      </c>
      <c r="S16" s="15">
        <v>0</v>
      </c>
      <c r="T16" s="15">
        <f t="shared" si="7"/>
        <v>0</v>
      </c>
      <c r="U16" s="15">
        <f t="shared" si="0"/>
        <v>0</v>
      </c>
      <c r="V16" s="17">
        <v>0</v>
      </c>
      <c r="W16" s="15">
        <f t="shared" si="8"/>
        <v>0</v>
      </c>
      <c r="Y16" s="40">
        <f t="shared" si="12"/>
        <v>0</v>
      </c>
      <c r="Z16" s="41">
        <f t="shared" si="9"/>
        <v>0</v>
      </c>
      <c r="AB16" s="19" t="s">
        <v>47</v>
      </c>
      <c r="AC16" s="20" t="s">
        <v>48</v>
      </c>
      <c r="AD16" s="14" t="s">
        <v>49</v>
      </c>
      <c r="AE16" s="15">
        <f t="shared" si="1"/>
        <v>34</v>
      </c>
      <c r="AF16" s="15">
        <f t="shared" si="2"/>
        <v>0</v>
      </c>
      <c r="AG16" s="15">
        <f t="shared" si="3"/>
        <v>0</v>
      </c>
      <c r="AH16" s="15">
        <v>0</v>
      </c>
      <c r="AI16" s="15">
        <f t="shared" si="10"/>
        <v>34</v>
      </c>
      <c r="AJ16" s="15">
        <f t="shared" si="4"/>
        <v>4.7084548104956268</v>
      </c>
      <c r="AK16" s="17">
        <v>0</v>
      </c>
      <c r="AL16" s="15">
        <f t="shared" si="11"/>
        <v>38.708454810495624</v>
      </c>
    </row>
    <row r="17" spans="1:38" x14ac:dyDescent="0.35">
      <c r="A17" s="19" t="s">
        <v>50</v>
      </c>
      <c r="B17" s="20" t="s">
        <v>48</v>
      </c>
      <c r="C17" s="14" t="s">
        <v>49</v>
      </c>
      <c r="D17" s="15">
        <v>3400</v>
      </c>
      <c r="E17" s="15">
        <v>0</v>
      </c>
      <c r="F17" s="15">
        <v>0</v>
      </c>
      <c r="G17" s="15">
        <v>30</v>
      </c>
      <c r="H17" s="15">
        <f t="shared" si="5"/>
        <v>3430</v>
      </c>
      <c r="I17" s="15">
        <v>1170</v>
      </c>
      <c r="J17" s="17">
        <v>0</v>
      </c>
      <c r="K17" s="15">
        <f t="shared" si="6"/>
        <v>4600</v>
      </c>
      <c r="M17" s="19" t="s">
        <v>50</v>
      </c>
      <c r="N17" s="20" t="s">
        <v>48</v>
      </c>
      <c r="O17" s="14" t="s">
        <v>49</v>
      </c>
      <c r="P17" s="15">
        <v>0</v>
      </c>
      <c r="Q17" s="15">
        <v>0</v>
      </c>
      <c r="R17" s="15">
        <v>0</v>
      </c>
      <c r="S17" s="15">
        <v>0</v>
      </c>
      <c r="T17" s="15">
        <f t="shared" si="7"/>
        <v>0</v>
      </c>
      <c r="U17" s="15">
        <f t="shared" si="0"/>
        <v>0</v>
      </c>
      <c r="V17" s="17">
        <v>0</v>
      </c>
      <c r="W17" s="15">
        <f t="shared" si="8"/>
        <v>0</v>
      </c>
      <c r="Y17" s="40">
        <f t="shared" si="12"/>
        <v>0</v>
      </c>
      <c r="Z17" s="41">
        <f t="shared" si="9"/>
        <v>0</v>
      </c>
      <c r="AB17" s="19" t="s">
        <v>50</v>
      </c>
      <c r="AC17" s="20" t="s">
        <v>48</v>
      </c>
      <c r="AD17" s="14" t="s">
        <v>49</v>
      </c>
      <c r="AE17" s="15">
        <f t="shared" si="1"/>
        <v>34</v>
      </c>
      <c r="AF17" s="15">
        <f t="shared" si="2"/>
        <v>0</v>
      </c>
      <c r="AG17" s="15">
        <f t="shared" si="3"/>
        <v>0</v>
      </c>
      <c r="AH17" s="15">
        <v>0</v>
      </c>
      <c r="AI17" s="15">
        <f t="shared" si="10"/>
        <v>34</v>
      </c>
      <c r="AJ17" s="15">
        <f t="shared" si="4"/>
        <v>11.597667638483964</v>
      </c>
      <c r="AK17" s="17">
        <v>0</v>
      </c>
      <c r="AL17" s="15">
        <f t="shared" si="11"/>
        <v>45.597667638483962</v>
      </c>
    </row>
    <row r="18" spans="1:38" x14ac:dyDescent="0.35">
      <c r="A18" s="19" t="s">
        <v>51</v>
      </c>
      <c r="B18" s="20" t="s">
        <v>52</v>
      </c>
      <c r="C18" s="14" t="s">
        <v>53</v>
      </c>
      <c r="D18" s="15">
        <v>4000</v>
      </c>
      <c r="E18" s="15">
        <v>0</v>
      </c>
      <c r="F18" s="15">
        <v>0</v>
      </c>
      <c r="G18" s="15">
        <v>30</v>
      </c>
      <c r="H18" s="15">
        <f t="shared" si="5"/>
        <v>4030</v>
      </c>
      <c r="I18" s="15">
        <v>1450</v>
      </c>
      <c r="J18" s="17">
        <v>0</v>
      </c>
      <c r="K18" s="15">
        <f t="shared" si="6"/>
        <v>5480</v>
      </c>
      <c r="M18" s="19" t="s">
        <v>51</v>
      </c>
      <c r="N18" s="20" t="s">
        <v>52</v>
      </c>
      <c r="O18" s="14" t="s">
        <v>53</v>
      </c>
      <c r="P18" s="15">
        <v>0</v>
      </c>
      <c r="Q18" s="15">
        <v>0</v>
      </c>
      <c r="R18" s="15">
        <v>0</v>
      </c>
      <c r="S18" s="15">
        <v>0</v>
      </c>
      <c r="T18" s="15">
        <f t="shared" si="7"/>
        <v>0</v>
      </c>
      <c r="U18" s="15">
        <f t="shared" si="0"/>
        <v>0</v>
      </c>
      <c r="V18" s="17">
        <v>0</v>
      </c>
      <c r="W18" s="15">
        <f t="shared" si="8"/>
        <v>0</v>
      </c>
      <c r="Y18" s="40">
        <f t="shared" si="12"/>
        <v>0</v>
      </c>
      <c r="Z18" s="41">
        <f t="shared" si="9"/>
        <v>0</v>
      </c>
      <c r="AB18" s="19" t="s">
        <v>51</v>
      </c>
      <c r="AC18" s="20" t="s">
        <v>52</v>
      </c>
      <c r="AD18" s="14" t="s">
        <v>53</v>
      </c>
      <c r="AE18" s="15">
        <f t="shared" si="1"/>
        <v>40</v>
      </c>
      <c r="AF18" s="15">
        <f t="shared" si="2"/>
        <v>0</v>
      </c>
      <c r="AG18" s="15">
        <f t="shared" si="3"/>
        <v>0</v>
      </c>
      <c r="AH18" s="15">
        <v>0</v>
      </c>
      <c r="AI18" s="15">
        <f t="shared" si="10"/>
        <v>40</v>
      </c>
      <c r="AJ18" s="15">
        <f t="shared" si="4"/>
        <v>14.392059553349876</v>
      </c>
      <c r="AK18" s="17">
        <v>0</v>
      </c>
      <c r="AL18" s="15">
        <f t="shared" si="11"/>
        <v>54.392059553349874</v>
      </c>
    </row>
    <row r="19" spans="1:38" ht="15" thickBot="1" x14ac:dyDescent="0.4">
      <c r="A19" s="21" t="s">
        <v>54</v>
      </c>
      <c r="B19" s="22" t="s">
        <v>52</v>
      </c>
      <c r="C19" s="22" t="s">
        <v>53</v>
      </c>
      <c r="D19" s="23">
        <v>4000</v>
      </c>
      <c r="E19" s="23">
        <v>25</v>
      </c>
      <c r="F19" s="23">
        <f t="shared" ref="F19" si="13">0.03*D19</f>
        <v>120</v>
      </c>
      <c r="G19" s="23">
        <v>25</v>
      </c>
      <c r="H19" s="23">
        <v>4150</v>
      </c>
      <c r="I19" s="23">
        <v>1000</v>
      </c>
      <c r="J19" s="24">
        <v>0</v>
      </c>
      <c r="K19" s="23">
        <f t="shared" si="6"/>
        <v>5150</v>
      </c>
      <c r="M19" s="21" t="s">
        <v>54</v>
      </c>
      <c r="N19" s="22" t="s">
        <v>52</v>
      </c>
      <c r="O19" s="22" t="s">
        <v>53</v>
      </c>
      <c r="P19" s="23">
        <v>0</v>
      </c>
      <c r="Q19" s="23">
        <v>0</v>
      </c>
      <c r="R19" s="23">
        <f t="shared" ref="R19" si="14">0.03*P19</f>
        <v>0</v>
      </c>
      <c r="S19" s="23">
        <v>0</v>
      </c>
      <c r="T19" s="23">
        <f t="shared" si="7"/>
        <v>0</v>
      </c>
      <c r="U19" s="23">
        <f t="shared" si="0"/>
        <v>0</v>
      </c>
      <c r="V19" s="24">
        <v>0</v>
      </c>
      <c r="W19" s="23">
        <f t="shared" si="8"/>
        <v>0</v>
      </c>
      <c r="Y19" s="44">
        <f t="shared" si="12"/>
        <v>0</v>
      </c>
      <c r="Z19" s="45">
        <f t="shared" si="9"/>
        <v>0</v>
      </c>
      <c r="AB19" s="21" t="s">
        <v>54</v>
      </c>
      <c r="AC19" s="22" t="s">
        <v>52</v>
      </c>
      <c r="AD19" s="22" t="s">
        <v>53</v>
      </c>
      <c r="AE19" s="23">
        <f t="shared" si="1"/>
        <v>40</v>
      </c>
      <c r="AF19" s="23">
        <f t="shared" si="2"/>
        <v>0.25</v>
      </c>
      <c r="AG19" s="23">
        <f t="shared" si="3"/>
        <v>1.2</v>
      </c>
      <c r="AH19" s="23">
        <v>0</v>
      </c>
      <c r="AI19" s="23">
        <f t="shared" si="10"/>
        <v>41.45</v>
      </c>
      <c r="AJ19" s="23">
        <f t="shared" si="4"/>
        <v>9.9879518072289155</v>
      </c>
      <c r="AK19" s="24">
        <f>J19</f>
        <v>0</v>
      </c>
      <c r="AL19" s="23">
        <f t="shared" si="11"/>
        <v>51.43795180722892</v>
      </c>
    </row>
    <row r="20" spans="1:38" ht="15" thickBot="1" x14ac:dyDescent="0.4">
      <c r="A20" s="7"/>
      <c r="B20" s="7"/>
      <c r="D20" s="25"/>
      <c r="E20" s="25"/>
      <c r="F20" s="26"/>
      <c r="G20" s="26"/>
      <c r="H20" s="26"/>
      <c r="I20" s="26"/>
      <c r="J20" s="26"/>
      <c r="K20" s="27">
        <f>SUM(K8:K19)</f>
        <v>75000</v>
      </c>
      <c r="P20" s="25"/>
      <c r="Q20" s="26"/>
      <c r="R20" s="26"/>
      <c r="S20" s="25"/>
      <c r="T20" s="25"/>
      <c r="U20" s="26"/>
      <c r="V20" s="26"/>
      <c r="W20" s="23">
        <f>SUM(W8:W19)</f>
        <v>600.00059193266611</v>
      </c>
      <c r="Y20" s="23">
        <f>SUM(Y8:Y19)</f>
        <v>471.31575829059045</v>
      </c>
      <c r="Z20" s="23">
        <f>SUM(Z8:Z19)</f>
        <v>128.68483364207574</v>
      </c>
      <c r="AB20" s="7"/>
      <c r="AC20" s="7"/>
      <c r="AE20" s="25"/>
      <c r="AF20" s="25"/>
      <c r="AG20" s="26"/>
      <c r="AH20" s="26"/>
      <c r="AI20" s="26"/>
      <c r="AJ20" s="26"/>
      <c r="AK20" s="26"/>
      <c r="AL20" s="23">
        <f>SUM(AL8:AL19)</f>
        <v>742.28398223862121</v>
      </c>
    </row>
    <row r="21" spans="1:38" x14ac:dyDescent="0.35">
      <c r="J21" t="s">
        <v>55</v>
      </c>
      <c r="AE21" t="s">
        <v>55</v>
      </c>
    </row>
    <row r="22" spans="1:38" x14ac:dyDescent="0.35">
      <c r="B22" s="68" t="s">
        <v>56</v>
      </c>
      <c r="C22" s="61"/>
      <c r="D22" s="61"/>
      <c r="E22" s="61"/>
      <c r="F22" s="61"/>
      <c r="G22" s="61"/>
      <c r="H22" s="61"/>
      <c r="I22" s="29">
        <f>K20</f>
        <v>75000</v>
      </c>
      <c r="AB22" s="30" t="s">
        <v>57</v>
      </c>
      <c r="AE22" s="31">
        <f>AL20/K20*100</f>
        <v>0.98971197631816166</v>
      </c>
      <c r="AK22" s="32">
        <f>AE22*K20/100</f>
        <v>742.28398223862121</v>
      </c>
    </row>
    <row r="23" spans="1:38" x14ac:dyDescent="0.35">
      <c r="B23" s="68" t="s">
        <v>79</v>
      </c>
      <c r="C23" s="61"/>
      <c r="D23" s="61"/>
      <c r="E23" s="61"/>
      <c r="F23" s="61"/>
      <c r="G23" s="61"/>
      <c r="H23" s="61"/>
      <c r="I23" s="29">
        <f>0.005*I22</f>
        <v>375</v>
      </c>
      <c r="J23">
        <f>I23/K20%</f>
        <v>0.5</v>
      </c>
      <c r="W23" s="32"/>
      <c r="AB23" s="7" t="s">
        <v>58</v>
      </c>
    </row>
    <row r="24" spans="1:38" x14ac:dyDescent="0.35">
      <c r="B24" s="68" t="s">
        <v>59</v>
      </c>
      <c r="C24" s="61"/>
      <c r="D24" s="61"/>
      <c r="E24" s="61"/>
      <c r="F24" s="61"/>
      <c r="G24" s="61"/>
      <c r="H24" s="61"/>
      <c r="I24" s="29">
        <f>0.003*I22</f>
        <v>225</v>
      </c>
      <c r="J24">
        <f>I24/K20%</f>
        <v>0.3</v>
      </c>
      <c r="W24" s="32"/>
      <c r="AB24" s="7" t="s">
        <v>60</v>
      </c>
    </row>
    <row r="25" spans="1:38" x14ac:dyDescent="0.35">
      <c r="B25" s="68" t="s">
        <v>65</v>
      </c>
      <c r="C25" s="61"/>
      <c r="D25" s="61"/>
      <c r="E25" s="61"/>
      <c r="F25" s="61"/>
      <c r="G25" s="61"/>
      <c r="H25" s="61"/>
      <c r="I25" s="29">
        <f>SUM(I23:I24)</f>
        <v>600</v>
      </c>
      <c r="J25" s="34">
        <f>SUM(J23:J24)</f>
        <v>0.8</v>
      </c>
    </row>
    <row r="26" spans="1:38" x14ac:dyDescent="0.35">
      <c r="C26" s="58"/>
      <c r="D26" s="58"/>
      <c r="E26" s="58"/>
      <c r="F26" s="58"/>
      <c r="G26" s="58"/>
      <c r="H26" s="58"/>
      <c r="I26" s="58"/>
      <c r="J26" s="34"/>
    </row>
    <row r="27" spans="1:38" ht="15.5" x14ac:dyDescent="0.35">
      <c r="C27" s="2"/>
      <c r="D27" s="6" t="s">
        <v>62</v>
      </c>
      <c r="E27" s="7"/>
      <c r="F27" s="7"/>
      <c r="G27" s="7"/>
      <c r="H27" s="7"/>
    </row>
    <row r="28" spans="1:38" ht="15" thickBot="1" x14ac:dyDescent="0.4">
      <c r="A28" s="3" t="s">
        <v>63</v>
      </c>
      <c r="C28" s="2"/>
      <c r="T28" s="35"/>
      <c r="U28" s="35"/>
      <c r="V28" s="35"/>
      <c r="W28" s="35"/>
      <c r="AE28" s="35"/>
      <c r="AF28" s="35"/>
      <c r="AG28" s="35"/>
      <c r="AH28" s="35"/>
      <c r="AI28" s="35"/>
      <c r="AJ28" s="35"/>
      <c r="AK28" s="35"/>
      <c r="AL28" s="35"/>
    </row>
    <row r="29" spans="1:38" ht="39.5" thickBot="1" x14ac:dyDescent="0.4">
      <c r="A29" s="9" t="s">
        <v>10</v>
      </c>
      <c r="B29" s="10" t="s">
        <v>11</v>
      </c>
      <c r="C29" s="11" t="s">
        <v>66</v>
      </c>
      <c r="D29" s="12" t="s">
        <v>12</v>
      </c>
      <c r="E29" s="12" t="s">
        <v>13</v>
      </c>
      <c r="F29" s="12" t="s">
        <v>14</v>
      </c>
      <c r="G29" s="12" t="s">
        <v>15</v>
      </c>
      <c r="H29" s="12" t="s">
        <v>16</v>
      </c>
      <c r="I29" s="12" t="s">
        <v>17</v>
      </c>
      <c r="J29" s="12" t="s">
        <v>18</v>
      </c>
      <c r="K29" s="12" t="s">
        <v>19</v>
      </c>
      <c r="M29" s="60" t="s">
        <v>80</v>
      </c>
      <c r="N29" s="61"/>
      <c r="O29" s="61"/>
      <c r="P29" s="61"/>
      <c r="Q29" s="61"/>
      <c r="R29" s="61"/>
      <c r="S29" s="61"/>
    </row>
    <row r="30" spans="1:38" ht="15" thickBot="1" x14ac:dyDescent="0.4">
      <c r="A30" s="13" t="s">
        <v>28</v>
      </c>
      <c r="B30" s="14" t="s">
        <v>29</v>
      </c>
      <c r="C30" s="14" t="s">
        <v>30</v>
      </c>
      <c r="D30" s="15">
        <f t="shared" ref="D30:D41" si="15">D8+P8+AE8</f>
        <v>6602.07</v>
      </c>
      <c r="E30" s="15">
        <f t="shared" ref="E30:E41" si="16">E8+Q8+AF8</f>
        <v>505</v>
      </c>
      <c r="F30" s="15">
        <f t="shared" ref="F30:F41" si="17">F8+R8+AG8</f>
        <v>528.16560000000004</v>
      </c>
      <c r="G30" s="15">
        <f t="shared" ref="G30:G41" si="18">G8+S8+AH8</f>
        <v>50</v>
      </c>
      <c r="H30" s="15">
        <f t="shared" ref="H30:H41" si="19">H8+T8+AI8</f>
        <v>7685.2356</v>
      </c>
      <c r="I30" s="15">
        <f t="shared" ref="I30:I41" si="20">I8+U8+AJ8</f>
        <v>1572.0251875273834</v>
      </c>
      <c r="J30" s="15">
        <f t="shared" ref="J30:J41" si="21">J8+V8+AK8</f>
        <v>100</v>
      </c>
      <c r="K30" s="15">
        <f t="shared" ref="K30:K41" si="22">K8+W8+AL8</f>
        <v>9357.2607875273861</v>
      </c>
      <c r="M30" s="46"/>
      <c r="N30" s="47"/>
      <c r="O30" s="47"/>
      <c r="P30" s="47"/>
      <c r="Q30" s="47" t="s">
        <v>72</v>
      </c>
      <c r="R30" s="47" t="s">
        <v>73</v>
      </c>
      <c r="S30" s="48" t="s">
        <v>74</v>
      </c>
    </row>
    <row r="31" spans="1:38" x14ac:dyDescent="0.35">
      <c r="A31" s="19" t="s">
        <v>31</v>
      </c>
      <c r="B31" s="20" t="s">
        <v>32</v>
      </c>
      <c r="C31" s="14" t="s">
        <v>33</v>
      </c>
      <c r="D31" s="15">
        <f t="shared" si="15"/>
        <v>5726.77</v>
      </c>
      <c r="E31" s="15">
        <f t="shared" si="16"/>
        <v>328</v>
      </c>
      <c r="F31" s="15">
        <f t="shared" si="17"/>
        <v>458.14159999999998</v>
      </c>
      <c r="G31" s="15">
        <f t="shared" si="18"/>
        <v>0</v>
      </c>
      <c r="H31" s="15">
        <f t="shared" si="19"/>
        <v>6512.9116000000004</v>
      </c>
      <c r="I31" s="15">
        <f t="shared" si="20"/>
        <v>813.85961886910343</v>
      </c>
      <c r="J31" s="15">
        <f t="shared" si="21"/>
        <v>52.5</v>
      </c>
      <c r="K31" s="15">
        <f t="shared" si="22"/>
        <v>7379.2712188691039</v>
      </c>
      <c r="M31" s="66" t="s">
        <v>68</v>
      </c>
      <c r="N31" s="67"/>
      <c r="O31" s="67"/>
      <c r="P31" s="67"/>
      <c r="Q31" s="52">
        <f>Y20</f>
        <v>471.31575829059045</v>
      </c>
      <c r="R31" s="53">
        <f>Q31/K20</f>
        <v>6.2842101105412057E-3</v>
      </c>
      <c r="S31" s="48" t="s">
        <v>75</v>
      </c>
    </row>
    <row r="32" spans="1:38" x14ac:dyDescent="0.35">
      <c r="A32" s="19" t="s">
        <v>34</v>
      </c>
      <c r="B32" s="20" t="s">
        <v>35</v>
      </c>
      <c r="C32" s="14" t="s">
        <v>37</v>
      </c>
      <c r="D32" s="15">
        <f t="shared" si="15"/>
        <v>4810.16</v>
      </c>
      <c r="E32" s="15">
        <f t="shared" si="16"/>
        <v>101</v>
      </c>
      <c r="F32" s="15">
        <f t="shared" si="17"/>
        <v>144.3048</v>
      </c>
      <c r="G32" s="15">
        <f t="shared" si="18"/>
        <v>0</v>
      </c>
      <c r="H32" s="15">
        <f t="shared" si="19"/>
        <v>5055.4647999999997</v>
      </c>
      <c r="I32" s="15">
        <f t="shared" si="20"/>
        <v>1265.7648472709063</v>
      </c>
      <c r="J32" s="15">
        <f t="shared" si="21"/>
        <v>0</v>
      </c>
      <c r="K32" s="15">
        <f t="shared" si="22"/>
        <v>6321.2296472709068</v>
      </c>
      <c r="M32" s="69" t="s">
        <v>69</v>
      </c>
      <c r="N32" s="65"/>
      <c r="O32" s="65"/>
      <c r="P32" s="65"/>
      <c r="Q32" s="54">
        <f>Z20</f>
        <v>128.68483364207574</v>
      </c>
      <c r="R32" s="55">
        <f>Q32/K20</f>
        <v>1.7157977818943434E-3</v>
      </c>
      <c r="S32" s="49" t="s">
        <v>76</v>
      </c>
    </row>
    <row r="33" spans="1:19" ht="15" thickBot="1" x14ac:dyDescent="0.4">
      <c r="A33" s="19" t="s">
        <v>38</v>
      </c>
      <c r="B33" s="20" t="s">
        <v>35</v>
      </c>
      <c r="C33" s="14" t="s">
        <v>37</v>
      </c>
      <c r="D33" s="15">
        <f t="shared" si="15"/>
        <v>4810.16</v>
      </c>
      <c r="E33" s="15">
        <f t="shared" si="16"/>
        <v>0</v>
      </c>
      <c r="F33" s="15">
        <f t="shared" si="17"/>
        <v>384.81280000000004</v>
      </c>
      <c r="G33" s="15">
        <f t="shared" si="18"/>
        <v>0</v>
      </c>
      <c r="H33" s="15">
        <f t="shared" si="19"/>
        <v>5194.9728000000005</v>
      </c>
      <c r="I33" s="15">
        <f t="shared" si="20"/>
        <v>759.498947368421</v>
      </c>
      <c r="J33" s="15">
        <f t="shared" si="21"/>
        <v>0</v>
      </c>
      <c r="K33" s="15">
        <f t="shared" si="22"/>
        <v>5954.4717473684213</v>
      </c>
      <c r="M33" s="62" t="s">
        <v>65</v>
      </c>
      <c r="N33" s="63"/>
      <c r="O33" s="63"/>
      <c r="P33" s="63"/>
      <c r="Q33" s="56">
        <f>SUM(Q31:Q32)</f>
        <v>600.00059193266623</v>
      </c>
      <c r="R33" s="57">
        <f>Q33/K20</f>
        <v>8.000007892435549E-3</v>
      </c>
      <c r="S33" s="51"/>
    </row>
    <row r="34" spans="1:19" x14ac:dyDescent="0.35">
      <c r="A34" s="19" t="s">
        <v>39</v>
      </c>
      <c r="B34" s="20" t="s">
        <v>35</v>
      </c>
      <c r="C34" s="14" t="s">
        <v>41</v>
      </c>
      <c r="D34" s="15">
        <f t="shared" si="15"/>
        <v>5024.5</v>
      </c>
      <c r="E34" s="15">
        <f t="shared" si="16"/>
        <v>60.5</v>
      </c>
      <c r="F34" s="15">
        <f t="shared" si="17"/>
        <v>401.96</v>
      </c>
      <c r="G34" s="15">
        <f t="shared" si="18"/>
        <v>30</v>
      </c>
      <c r="H34" s="15">
        <f t="shared" si="19"/>
        <v>5516.96</v>
      </c>
      <c r="I34" s="15">
        <f t="shared" si="20"/>
        <v>1830.1747143383707</v>
      </c>
      <c r="J34" s="15">
        <f t="shared" si="21"/>
        <v>250</v>
      </c>
      <c r="K34" s="15">
        <f t="shared" si="22"/>
        <v>7597.1347143383709</v>
      </c>
      <c r="M34" s="64"/>
      <c r="N34" s="65"/>
      <c r="O34" s="65"/>
      <c r="P34" s="65"/>
      <c r="Q34" s="54"/>
      <c r="R34" s="55"/>
      <c r="S34" s="49"/>
    </row>
    <row r="35" spans="1:19" x14ac:dyDescent="0.35">
      <c r="A35" s="19" t="s">
        <v>42</v>
      </c>
      <c r="B35" s="20" t="s">
        <v>35</v>
      </c>
      <c r="C35" s="14" t="s">
        <v>41</v>
      </c>
      <c r="D35" s="15">
        <f t="shared" si="15"/>
        <v>5024.5</v>
      </c>
      <c r="E35" s="15">
        <f t="shared" si="16"/>
        <v>166.5</v>
      </c>
      <c r="F35" s="15">
        <f t="shared" si="17"/>
        <v>401.96</v>
      </c>
      <c r="G35" s="15">
        <f t="shared" si="18"/>
        <v>30</v>
      </c>
      <c r="H35" s="15">
        <f t="shared" si="19"/>
        <v>5622.96</v>
      </c>
      <c r="I35" s="15">
        <f t="shared" si="20"/>
        <v>1780.7057546145493</v>
      </c>
      <c r="J35" s="15">
        <f t="shared" si="21"/>
        <v>0</v>
      </c>
      <c r="K35" s="15">
        <f t="shared" si="22"/>
        <v>7403.6657546145498</v>
      </c>
      <c r="M35" s="64" t="s">
        <v>77</v>
      </c>
      <c r="N35" s="65"/>
      <c r="O35" s="65"/>
      <c r="P35" s="65"/>
      <c r="Q35" s="54">
        <f>I25</f>
        <v>600</v>
      </c>
      <c r="R35" s="55">
        <f>Q35/K20</f>
        <v>8.0000000000000002E-3</v>
      </c>
      <c r="S35" s="49"/>
    </row>
    <row r="36" spans="1:19" ht="15" thickBot="1" x14ac:dyDescent="0.4">
      <c r="A36" s="19" t="s">
        <v>44</v>
      </c>
      <c r="B36" s="20" t="s">
        <v>35</v>
      </c>
      <c r="C36" s="14" t="s">
        <v>43</v>
      </c>
      <c r="D36" s="15">
        <f t="shared" si="15"/>
        <v>5225.5</v>
      </c>
      <c r="E36" s="15">
        <f t="shared" si="16"/>
        <v>25</v>
      </c>
      <c r="F36" s="15">
        <f t="shared" si="17"/>
        <v>418.04</v>
      </c>
      <c r="G36" s="15">
        <f t="shared" si="18"/>
        <v>30</v>
      </c>
      <c r="H36" s="15">
        <f t="shared" si="19"/>
        <v>5698.54</v>
      </c>
      <c r="I36" s="15">
        <f t="shared" si="20"/>
        <v>779.34080962800874</v>
      </c>
      <c r="J36" s="15">
        <f t="shared" si="21"/>
        <v>0</v>
      </c>
      <c r="K36" s="15">
        <f t="shared" si="22"/>
        <v>6477.8808096280081</v>
      </c>
      <c r="M36" s="62" t="s">
        <v>61</v>
      </c>
      <c r="N36" s="63"/>
      <c r="O36" s="63"/>
      <c r="P36" s="63"/>
      <c r="Q36" s="56">
        <f>Q35-Q33</f>
        <v>-5.9193266622514784E-4</v>
      </c>
      <c r="R36" s="56">
        <f>R35-R33</f>
        <v>-7.8924355488563247E-9</v>
      </c>
      <c r="S36" s="50"/>
    </row>
    <row r="37" spans="1:19" x14ac:dyDescent="0.35">
      <c r="A37" s="19" t="s">
        <v>46</v>
      </c>
      <c r="B37" s="20" t="s">
        <v>35</v>
      </c>
      <c r="C37" s="14" t="s">
        <v>43</v>
      </c>
      <c r="D37" s="15">
        <f t="shared" si="15"/>
        <v>5225.5</v>
      </c>
      <c r="E37" s="15">
        <f t="shared" si="16"/>
        <v>136</v>
      </c>
      <c r="F37" s="15">
        <f t="shared" si="17"/>
        <v>418.04</v>
      </c>
      <c r="G37" s="15">
        <f t="shared" si="18"/>
        <v>30</v>
      </c>
      <c r="H37" s="15">
        <f t="shared" si="19"/>
        <v>5809.54</v>
      </c>
      <c r="I37" s="15">
        <f t="shared" si="20"/>
        <v>676.25376074498558</v>
      </c>
      <c r="J37" s="15">
        <f t="shared" si="21"/>
        <v>0</v>
      </c>
      <c r="K37" s="15">
        <f t="shared" si="22"/>
        <v>6485.7937607449858</v>
      </c>
    </row>
    <row r="38" spans="1:19" x14ac:dyDescent="0.35">
      <c r="A38" s="19" t="s">
        <v>47</v>
      </c>
      <c r="B38" s="20" t="s">
        <v>48</v>
      </c>
      <c r="C38" s="14" t="s">
        <v>49</v>
      </c>
      <c r="D38" s="15">
        <f t="shared" si="15"/>
        <v>3434</v>
      </c>
      <c r="E38" s="15">
        <f t="shared" si="16"/>
        <v>0</v>
      </c>
      <c r="F38" s="15">
        <f t="shared" si="17"/>
        <v>0</v>
      </c>
      <c r="G38" s="15">
        <f t="shared" si="18"/>
        <v>30</v>
      </c>
      <c r="H38" s="15">
        <f t="shared" si="19"/>
        <v>3464</v>
      </c>
      <c r="I38" s="15">
        <f t="shared" si="20"/>
        <v>479.70845481049565</v>
      </c>
      <c r="J38" s="15">
        <f t="shared" si="21"/>
        <v>40.44</v>
      </c>
      <c r="K38" s="15">
        <f t="shared" si="22"/>
        <v>3984.1484548104959</v>
      </c>
    </row>
    <row r="39" spans="1:19" x14ac:dyDescent="0.35">
      <c r="A39" s="19" t="s">
        <v>50</v>
      </c>
      <c r="B39" s="20" t="s">
        <v>48</v>
      </c>
      <c r="C39" s="14" t="s">
        <v>49</v>
      </c>
      <c r="D39" s="15">
        <f t="shared" si="15"/>
        <v>3434</v>
      </c>
      <c r="E39" s="15">
        <f t="shared" si="16"/>
        <v>0</v>
      </c>
      <c r="F39" s="15">
        <f t="shared" si="17"/>
        <v>0</v>
      </c>
      <c r="G39" s="15">
        <f t="shared" si="18"/>
        <v>30</v>
      </c>
      <c r="H39" s="15">
        <f t="shared" si="19"/>
        <v>3464</v>
      </c>
      <c r="I39" s="15">
        <f t="shared" si="20"/>
        <v>1181.5976676384839</v>
      </c>
      <c r="J39" s="15">
        <f t="shared" si="21"/>
        <v>0</v>
      </c>
      <c r="K39" s="15">
        <f t="shared" si="22"/>
        <v>4645.5976676384844</v>
      </c>
    </row>
    <row r="40" spans="1:19" x14ac:dyDescent="0.35">
      <c r="A40" s="19" t="s">
        <v>51</v>
      </c>
      <c r="B40" s="20" t="s">
        <v>52</v>
      </c>
      <c r="C40" s="14" t="s">
        <v>53</v>
      </c>
      <c r="D40" s="15">
        <f t="shared" si="15"/>
        <v>4040</v>
      </c>
      <c r="E40" s="15">
        <f t="shared" si="16"/>
        <v>0</v>
      </c>
      <c r="F40" s="15">
        <f t="shared" si="17"/>
        <v>0</v>
      </c>
      <c r="G40" s="15">
        <f t="shared" si="18"/>
        <v>30</v>
      </c>
      <c r="H40" s="15">
        <f t="shared" si="19"/>
        <v>4070</v>
      </c>
      <c r="I40" s="15">
        <f t="shared" si="20"/>
        <v>1464.3920595533498</v>
      </c>
      <c r="J40" s="15">
        <f t="shared" si="21"/>
        <v>0</v>
      </c>
      <c r="K40" s="15">
        <f t="shared" si="22"/>
        <v>5534.39205955335</v>
      </c>
    </row>
    <row r="41" spans="1:19" ht="15" thickBot="1" x14ac:dyDescent="0.4">
      <c r="A41" s="21" t="s">
        <v>54</v>
      </c>
      <c r="B41" s="22" t="s">
        <v>52</v>
      </c>
      <c r="C41" s="22" t="s">
        <v>53</v>
      </c>
      <c r="D41" s="23">
        <f t="shared" si="15"/>
        <v>4040</v>
      </c>
      <c r="E41" s="23">
        <f t="shared" si="16"/>
        <v>25.25</v>
      </c>
      <c r="F41" s="23">
        <f t="shared" si="17"/>
        <v>121.2</v>
      </c>
      <c r="G41" s="23">
        <f t="shared" si="18"/>
        <v>25</v>
      </c>
      <c r="H41" s="23">
        <f t="shared" si="19"/>
        <v>4191.45</v>
      </c>
      <c r="I41" s="23">
        <f t="shared" si="20"/>
        <v>1009.9879518072289</v>
      </c>
      <c r="J41" s="24">
        <f t="shared" si="21"/>
        <v>0</v>
      </c>
      <c r="K41" s="23">
        <f t="shared" si="22"/>
        <v>5201.4379518072292</v>
      </c>
    </row>
    <row r="42" spans="1:19" ht="15" thickBot="1" x14ac:dyDescent="0.4">
      <c r="A42" s="7"/>
      <c r="B42" s="7"/>
      <c r="D42" s="25"/>
      <c r="E42" s="25"/>
      <c r="F42" s="25"/>
      <c r="G42" s="25"/>
      <c r="H42" s="25"/>
      <c r="I42" s="25"/>
      <c r="J42" s="25"/>
      <c r="K42" s="27">
        <f>SUM(K30:K41)</f>
        <v>76342.284574171295</v>
      </c>
    </row>
    <row r="44" spans="1:19" x14ac:dyDescent="0.35">
      <c r="I44" s="28"/>
      <c r="J44" s="28" t="s">
        <v>2</v>
      </c>
      <c r="K44" s="36" t="s">
        <v>55</v>
      </c>
      <c r="L44" s="28" t="s">
        <v>55</v>
      </c>
    </row>
    <row r="45" spans="1:19" x14ac:dyDescent="0.35">
      <c r="I45" s="28" t="s">
        <v>2</v>
      </c>
      <c r="J45" s="29">
        <f>AL20</f>
        <v>742.28398223862121</v>
      </c>
      <c r="K45" s="31">
        <f>J45/$K$20%</f>
        <v>0.98971197631816166</v>
      </c>
      <c r="L45" s="28"/>
    </row>
    <row r="46" spans="1:19" x14ac:dyDescent="0.35">
      <c r="I46" s="28" t="s">
        <v>64</v>
      </c>
      <c r="J46" s="33">
        <f>W20</f>
        <v>600.00059193266611</v>
      </c>
      <c r="K46" s="31">
        <f>J46/$K$20%</f>
        <v>0.80000078924355478</v>
      </c>
      <c r="L46" s="28"/>
    </row>
    <row r="47" spans="1:19" x14ac:dyDescent="0.35">
      <c r="I47" s="28" t="s">
        <v>65</v>
      </c>
      <c r="J47" s="29">
        <f>SUM(J45:J46)</f>
        <v>1342.2845741712872</v>
      </c>
      <c r="K47" s="31">
        <f>J47/$K$20%</f>
        <v>1.7897127655617162</v>
      </c>
      <c r="L47" s="28"/>
    </row>
  </sheetData>
  <mergeCells count="13">
    <mergeCell ref="B22:H22"/>
    <mergeCell ref="B24:H24"/>
    <mergeCell ref="B23:H23"/>
    <mergeCell ref="B25:H25"/>
    <mergeCell ref="M32:P32"/>
    <mergeCell ref="AB6:AL6"/>
    <mergeCell ref="M6:W6"/>
    <mergeCell ref="M29:S29"/>
    <mergeCell ref="M36:P36"/>
    <mergeCell ref="M34:P34"/>
    <mergeCell ref="M33:P33"/>
    <mergeCell ref="M31:P31"/>
    <mergeCell ref="M35:P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Ruskoaho Juho</dc:creator>
  <cp:lastModifiedBy>Hallia Kaisa</cp:lastModifiedBy>
  <dcterms:created xsi:type="dcterms:W3CDTF">2021-03-01T07:48:02Z</dcterms:created>
  <dcterms:modified xsi:type="dcterms:W3CDTF">2021-03-08T12:51:35Z</dcterms:modified>
</cp:coreProperties>
</file>