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635" windowWidth="15255" windowHeight="4230" activeTab="0"/>
  </bookViews>
  <sheets>
    <sheet name="KÄYTTÖTAULU" sheetId="1" r:id="rId1"/>
    <sheet name="muut muuttujat" sheetId="2" state="hidden" r:id="rId2"/>
    <sheet name="vuosityö ja aikk laskenta" sheetId="3" state="hidden" r:id="rId3"/>
    <sheet name="virheet" sheetId="4" state="hidden" r:id="rId4"/>
    <sheet name="laskenta" sheetId="5" state="hidden" r:id="rId5"/>
    <sheet name="palkat 1.12.2018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freunha</author>
    <author>ST</author>
  </authors>
  <commentList>
    <comment ref="I8" authorId="0">
      <text>
        <r>
          <rPr>
            <b/>
            <sz val="8"/>
            <rFont val="Tahoma"/>
            <family val="2"/>
          </rPr>
          <t>Huojentamaton opetusvelvollisuus, tuntia/viikko.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Peruskoulussa ja lukiossa voi koskea vain virkarehtoria, kokonaistyöajassa olevaa apulaisrehtoria ja oppilaanohjauksen lehtoria (epäpätevyysalennus tai kokonaistyöajassa olevan apulaisrehtorin palkka). Muissa oppilaitoksissa epäpätevyysalennus.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Sisältää peruspalkan lisäksi tehtävän vaativuuden perusteella maksetut "tva-lisät". Vuosiviikkoylitunti- ja kertatuntipalkkioden laskentaperuste.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Mitkä tahansa muut palkkatekijät, kuin tehtäväkohtainen palkka, vuosisidonnainen lisä tai kohdissa 6 ja 7 ilmoitetut palkkiot.</t>
        </r>
      </text>
    </comment>
    <comment ref="I14" authorId="0">
      <text>
        <r>
          <rPr>
            <b/>
            <sz val="8"/>
            <rFont val="Tahoma"/>
            <family val="2"/>
          </rPr>
          <t>Koko lukuvuodeksi vahvistettujen ylituntien määrä viikossa (OVTES Osio A 26 § 2-4 mom. muk.)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Yksittäin maksettavien tuntien määrä kuukaudessa (OVTES Osio A 26 § 5-6 mom. muk.)</t>
        </r>
        <r>
          <rPr>
            <sz val="8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2"/>
          </rPr>
          <t>6-20 % (Osio A 8 § 1 mom.)</t>
        </r>
      </text>
    </comment>
    <comment ref="F38" authorId="1">
      <text>
        <r>
          <rPr>
            <b/>
            <sz val="8"/>
            <rFont val="Tahoma"/>
            <family val="2"/>
          </rPr>
          <t xml:space="preserve">Mm. henkilökohtainen lisä (Osio A 11 §), syrjäseutulisä, (Osio A 19 §), kielilisä (KVTES Luku 2  16 §), luottamusmieskorvaus (KVTES Luku VII 10 §) sekä työsuojeluvaltuutetun korvaus.
</t>
        </r>
      </text>
    </comment>
    <comment ref="F40" authorId="1">
      <text>
        <r>
          <rPr>
            <b/>
            <sz val="8"/>
            <rFont val="Tahoma"/>
            <family val="2"/>
          </rPr>
          <t xml:space="preserve">Muut kuin kohdan 6 lisät. 
</t>
        </r>
      </text>
    </comment>
    <comment ref="L29" authorId="1">
      <text>
        <r>
          <rPr>
            <b/>
            <sz val="8"/>
            <rFont val="Tahoma"/>
            <family val="2"/>
          </rPr>
          <t>Osio C Liite 1 15§</t>
        </r>
      </text>
    </comment>
    <comment ref="L31" authorId="1">
      <text>
        <r>
          <rPr>
            <b/>
            <sz val="8"/>
            <rFont val="Tahoma"/>
            <family val="2"/>
          </rPr>
          <t>Osio C Liite 1 16§</t>
        </r>
      </text>
    </comment>
    <comment ref="B46" authorId="1">
      <text>
        <r>
          <rPr>
            <b/>
            <sz val="8"/>
            <rFont val="Tahoma"/>
            <family val="2"/>
          </rPr>
          <t>Enintään 30 % (Osio E 2 § 3 kohdan soveltamisohje)</t>
        </r>
        <r>
          <rPr>
            <sz val="8"/>
            <rFont val="Tahoma"/>
            <family val="2"/>
          </rPr>
          <t xml:space="preserve">
</t>
        </r>
      </text>
    </comment>
    <comment ref="B53" authorId="1">
      <text>
        <r>
          <rPr>
            <b/>
            <sz val="8"/>
            <rFont val="Tahoma"/>
            <family val="2"/>
          </rPr>
          <t>Vähintään Osio E 2 § 3 kohdan  mukainen. Tähän ei merkitä lisiä.</t>
        </r>
      </text>
    </comment>
    <comment ref="F53" authorId="1">
      <text>
        <r>
          <rPr>
            <b/>
            <sz val="8"/>
            <rFont val="Tahoma"/>
            <family val="2"/>
          </rPr>
          <t>Kaikki korvaukset ja lisät, jotka eivät ole osa Osion E 2 § 3 kohdan mukaista palkkaa.</t>
        </r>
        <r>
          <rPr>
            <sz val="8"/>
            <rFont val="Tahoma"/>
            <family val="2"/>
          </rPr>
          <t xml:space="preserve">
</t>
        </r>
      </text>
    </comment>
    <comment ref="L44" authorId="1">
      <text>
        <r>
          <rPr>
            <b/>
            <sz val="8"/>
            <rFont val="Tahoma"/>
            <family val="2"/>
          </rPr>
          <t>Osio E 2 § 1. ja 2 . kappale</t>
        </r>
        <r>
          <rPr>
            <sz val="8"/>
            <rFont val="Tahoma"/>
            <family val="2"/>
          </rPr>
          <t xml:space="preserve">
</t>
        </r>
      </text>
    </comment>
    <comment ref="L46" authorId="1">
      <text>
        <r>
          <rPr>
            <b/>
            <sz val="8"/>
            <rFont val="Tahoma"/>
            <family val="2"/>
          </rPr>
          <t>Osio E 2 § 2. kappale</t>
        </r>
        <r>
          <rPr>
            <sz val="8"/>
            <rFont val="Tahoma"/>
            <family val="2"/>
          </rPr>
          <t xml:space="preserve">
</t>
        </r>
      </text>
    </comment>
    <comment ref="L48" authorId="1">
      <text>
        <r>
          <rPr>
            <b/>
            <sz val="8"/>
            <rFont val="Tahoma"/>
            <family val="2"/>
          </rPr>
          <t>Osio E 2 § 2. kappale</t>
        </r>
        <r>
          <rPr>
            <sz val="8"/>
            <rFont val="Tahoma"/>
            <family val="2"/>
          </rPr>
          <t xml:space="preserve">
</t>
        </r>
      </text>
    </comment>
    <comment ref="M20" authorId="1">
      <text>
        <r>
          <rPr>
            <sz val="8"/>
            <rFont val="Tahoma"/>
            <family val="2"/>
          </rPr>
          <t xml:space="preserve">Koskee vain kansalais- tai kansanopiston tuntiopettajia (Liite 12 13 § 2 mom. ja Liite 13 10 § 2 mom.)
</t>
        </r>
        <r>
          <rPr>
            <sz val="8"/>
            <rFont val="Tahoma"/>
            <family val="2"/>
          </rPr>
          <t xml:space="preserve">
</t>
        </r>
      </text>
    </comment>
    <comment ref="M21" authorId="1">
      <text>
        <r>
          <rPr>
            <sz val="8"/>
            <rFont val="Tahoma"/>
            <family val="2"/>
          </rPr>
          <t>Koskee vain kansalais- tai kansanopiston ja lasten taidekoulujen tuntiopettajia sekä musiikkioppilaitosten sivutoimisia tuntiopettajia.</t>
        </r>
      </text>
    </comment>
    <comment ref="M19" authorId="1">
      <text>
        <r>
          <rPr>
            <b/>
            <sz val="8"/>
            <rFont val="Tahoma"/>
            <family val="2"/>
          </rPr>
          <t>Koskee vain kansalaisopiston tuntiopettajaa (Liite 12 14 §) ja kansanopiston tuntiopettajaa (Liite 13 11 §)</t>
        </r>
      </text>
    </comment>
    <comment ref="B39" authorId="1">
      <text>
        <r>
          <rPr>
            <b/>
            <sz val="8"/>
            <rFont val="Tahoma"/>
            <family val="2"/>
          </rPr>
          <t xml:space="preserve">Tähän merkitään tehtäväkohtainen palkka, joka sisältää palveluvuosien vaikutuksen palkkaan (Osio C Liite 1 7 § ja 8 §)
 </t>
        </r>
      </text>
    </comment>
    <comment ref="L30" authorId="1">
      <text>
        <r>
          <rPr>
            <b/>
            <sz val="8"/>
            <rFont val="Tahoma"/>
            <family val="2"/>
          </rPr>
          <t>Osio C Liite 1 15§</t>
        </r>
      </text>
    </comment>
  </commentList>
</comments>
</file>

<file path=xl/comments5.xml><?xml version="1.0" encoding="utf-8"?>
<comments xmlns="http://schemas.openxmlformats.org/spreadsheetml/2006/main">
  <authors>
    <author>Freund Hannu</author>
  </authors>
  <commentList>
    <comment ref="Q172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  <comment ref="Q179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</commentList>
</comments>
</file>

<file path=xl/sharedStrings.xml><?xml version="1.0" encoding="utf-8"?>
<sst xmlns="http://schemas.openxmlformats.org/spreadsheetml/2006/main" count="1095" uniqueCount="704">
  <si>
    <t>Kalleusluokka</t>
  </si>
  <si>
    <t>Hinnoittelutunnus</t>
  </si>
  <si>
    <t>I kl</t>
  </si>
  <si>
    <t>II kl</t>
  </si>
  <si>
    <t>Koodi</t>
  </si>
  <si>
    <t>41404005 Kauppaoppilaitoksen lehtori/muu tutk.</t>
  </si>
  <si>
    <t>41407013 Kauppaoppil. tuntiopettaja/muu tutk.</t>
  </si>
  <si>
    <t>41604005 Sos.ja terv. lehtori, ykkt</t>
  </si>
  <si>
    <t>41604006 Sos.ja terv. lehtori, muu</t>
  </si>
  <si>
    <t>41607005 Sos.ja terv. tuntiopettaja, ykkt</t>
  </si>
  <si>
    <t>41607006 Sos.ja terv. tuntiopettaja, muu</t>
  </si>
  <si>
    <t>42004004 Merenkulkuoppil. lehtori/yht.aineet/yl.kkt</t>
  </si>
  <si>
    <t>42004005 Merenkulkuoppil. lehtori/yht.aineet/al.kkt</t>
  </si>
  <si>
    <t>42004006 Merenkulkuoppil. lehtori/yht.aineet/muu</t>
  </si>
  <si>
    <t>42004010 Merenkulkuoppil. lehtori/merenkulku yms./yl.kkt</t>
  </si>
  <si>
    <t>42004011 Merenkulkuoppil. lehtori/merenkulku yms./muu</t>
  </si>
  <si>
    <t>42004008 Merenkulkuoppil. lehtori/ammatinopetus</t>
  </si>
  <si>
    <t>42004009 Merenkulkuoppil. lehtori/työnopetus</t>
  </si>
  <si>
    <t>42007004 Merenkulkuoppil. tuntiop./yht.aineet/yl.kkt</t>
  </si>
  <si>
    <t>42007005 Merenkulkuoppil. tuntiop./yht.aineet/al.kkt</t>
  </si>
  <si>
    <t>42007006 Merenkulkuoppil. tuntiop./yht.aineet/muu</t>
  </si>
  <si>
    <t>42007010 Merenkulkuoppil. tuntiop./merenk yms./yl.kkt</t>
  </si>
  <si>
    <t>42007011 Merenkulkuoppil. tuntiop./merenk yms./muu</t>
  </si>
  <si>
    <t>42007008 Merenkulkuoppil. tuntiopettaja/ammatinopetus</t>
  </si>
  <si>
    <t>42007009 Merenkulkuoppil. tuntiopettaja/työnopetus</t>
  </si>
  <si>
    <t>valittu</t>
  </si>
  <si>
    <t>lisäpalkkiot</t>
  </si>
  <si>
    <t>Alkuopetuksen lisä (01220)</t>
  </si>
  <si>
    <t>Yhteisyyslisä (01220)</t>
  </si>
  <si>
    <t>Yt-peruste</t>
  </si>
  <si>
    <t>Peruspalk</t>
  </si>
  <si>
    <t>Ei ole</t>
  </si>
  <si>
    <t>Kl-kert. sis.</t>
  </si>
  <si>
    <t>Vuosiviikko ytp</t>
  </si>
  <si>
    <t>Kertatuntip.</t>
  </si>
  <si>
    <t xml:space="preserve">Sivut tuntiop </t>
  </si>
  <si>
    <t>e/kk</t>
  </si>
  <si>
    <t>40304005 Peruskoulun lehtori/ykkt ja perus-/lukio-op. kelp. tai aiempi vanh. lehtorin kelp.</t>
  </si>
  <si>
    <t>40304007 Peruskoulun lehtori/muu kuin em. perus-, aineen-, luokan- tai erit.op.opettajan kelp.</t>
  </si>
  <si>
    <t>40304008 Peruskoulun lehtori/ykkt</t>
  </si>
  <si>
    <t>40304009 Peruskoulun lehtori/korkeakoulututkinto</t>
  </si>
  <si>
    <t>40304010 Peruskoulun lehtori/muu kuin edellä mainittu</t>
  </si>
  <si>
    <t>40304012 Peruskoulun erityisopet.opettaja/ykkt ja erit.op.kelp.</t>
  </si>
  <si>
    <t>40304013 Peruskoulun erityisopet.opettaja/erit.op.kelp.</t>
  </si>
  <si>
    <t>40304014 Peruskoulun erityisopet.opettaja/akkt ja erit.op.kelp</t>
  </si>
  <si>
    <t>40304015 Peruskoulun erityisopet.opettaja/ykkt ja perus/lukio-opetuksen kelp.</t>
  </si>
  <si>
    <t>40304016 Vaik.kehitysvamm.(EHA 2) opetuksen erityisopettajan kelp.tai perus-/lukio-op. kelp.</t>
  </si>
  <si>
    <t>40304017 Peruskoulun erityisopet.opettaja/muu kuin em.</t>
  </si>
  <si>
    <t>40304020 Esiluokanopettaja/ykkt ja perus-/lukio-opetuksen kelp.</t>
  </si>
  <si>
    <t>40304021 Esiluokanopettaja/asetuksen 986/1998 7 §:n mukainen kelp.</t>
  </si>
  <si>
    <t>40304022 Esiluokanopettaja/muu kuin edellä mainittu</t>
  </si>
  <si>
    <t>40304024 Erityisesiluokan opettaja jolla erityislastentarhanopettajan kelp.</t>
  </si>
  <si>
    <t>40304030 Peruskoulun luokanopettaja/ykkt ja perus-/lukio-opetuksen kelp</t>
  </si>
  <si>
    <t>40304031 Peruskoulun luokanopettaja/perus-/lukio-opetuksen kelp</t>
  </si>
  <si>
    <t>40304033 Peruskoulun luokanopettaja/muu kuin edellä mainittu</t>
  </si>
  <si>
    <t>40304098 Peruskoulun luokanopettaja/korkeakoulututk./lastentarhanopett.tutk.</t>
  </si>
  <si>
    <t>40307038 Vuosiluokkien 7-9 tuntiop/ykkt ja perus-/lukio-op.kelp. tai aiempi vanh. lehtorin kelp.</t>
  </si>
  <si>
    <t>40307040 Vuosiluokkien 7-9 tuntiop/muu kuin em. perus-, aineen-, luokan- tai erit.op. Opet. kelp.</t>
  </si>
  <si>
    <t>40307041 Vuosiluokkien 7-9 tuntiop/ylempi korkeakoulututkinto</t>
  </si>
  <si>
    <t>40307042 Vuosiluokkien 7-9 tuntiop/korkeakoulututkinto</t>
  </si>
  <si>
    <t>40307043 Vuosiluokkien 7-9 tuntiop/muu kuin edellä mainittu</t>
  </si>
  <si>
    <t>40307044 Erityisopetuksen tuntiopettaja/ykkt ja erit.op.kelp.</t>
  </si>
  <si>
    <t>40307045 Erityisopetuksen tuntiopettaja/erit.op.kelp.</t>
  </si>
  <si>
    <t>40307046 Erityisopetuksen tuntiopettaja/akkt ja erit.op.kelp</t>
  </si>
  <si>
    <t>40307047 Erityisopetuksen tuntiopettaja/ykkt ja perus/lukio-opetuksen kelp.</t>
  </si>
  <si>
    <t>40307048 Vaik.kehitysvamm.(EHA 2) opetuksen erityisop.. kelp.tai perus-/lukio-opetuksen kelp.</t>
  </si>
  <si>
    <t>40307049 Erityisopetuksen tuntiopettaja/muu kuin em.</t>
  </si>
  <si>
    <t>40307056 Vuosiluokkien 1-6 tuntiopettaja/ykkt ja perus-/lukio-opetuksen kelp</t>
  </si>
  <si>
    <t>40307057 Vuosiluokkien 1-6 tuntiopettaja/perus-/lukio-opetuksen kelp</t>
  </si>
  <si>
    <t>40307059 Vuosiluokkien 1-6 tuntiopettaja/muu kuin edellä mainittu</t>
  </si>
  <si>
    <t>40307062 Esiopetuksen tuntiopettaja/ykkt ja perus-/lukio-opetuksen kelp.</t>
  </si>
  <si>
    <t>40307063 Esiopetuksen tuntiopettaja/asetuksen 986/1998 7 §:n mukainen kelp.</t>
  </si>
  <si>
    <t>40307064 Esiopetuksen tuntiopettaja/muu kuin edellä mainittu</t>
  </si>
  <si>
    <t>40307065 Esiopetuksen tuntiopettaja/erityisesiluokan opett, erit.lastentarhanop. kelp.</t>
  </si>
  <si>
    <t>40307099 Vuosiluokkien 1-6 tuntiopettaja/korkeakoulututk./lastentarhanopett.tutk.</t>
  </si>
  <si>
    <t>40404017 Lukion lehtori/ykkt ja lukio-opetuksen kelp. tai aiempi vanh. lehtorin kelp.</t>
  </si>
  <si>
    <t>40404018 Lukion lehtori/aiempi lukio-op.kelp tai  perusop.kelp.</t>
  </si>
  <si>
    <t>40404022 Lukion lehtori/korkeakoulututk.</t>
  </si>
  <si>
    <t>40404023 Lukion lehtori/muu tutk.</t>
  </si>
  <si>
    <t>40404024 Aikuislukion ja aikuislinjan lehtori/ykkt ja lukio/perusop. kelp. tai aiempi vanh. leht. kelp.</t>
  </si>
  <si>
    <t>40404025 Aikuislukion ja aikuislinjan lehtori/lukio/perusop. kelp. tai aiempi aikuislukion op. kelp.</t>
  </si>
  <si>
    <t>40404026 Aikuislukion ja aikuislinjan lehtori/muu</t>
  </si>
  <si>
    <t>40404027 Aikuislukion ja aikuislinjan lehtori/korkeakoulututkinto</t>
  </si>
  <si>
    <t>40407039 Lukion tuntiopettaja/akkt ym.</t>
  </si>
  <si>
    <t>40407041 Lukion tuntiopettaja/muu tutk.</t>
  </si>
  <si>
    <t>40407042 Lukion tuntiopettaja/korkeakoulututk.</t>
  </si>
  <si>
    <t>40407050 Aikuislukion tuntiopettaja/ykkt ja lukio-/perusop. kelp tai aiempi vanh. lehtorin kelp.</t>
  </si>
  <si>
    <t>40407051 Aikuislukion tuntiopettaja/akkt ym.</t>
  </si>
  <si>
    <t>40407053 Aikuislukion tuntiopettaja/korkeakoulututk.</t>
  </si>
  <si>
    <t xml:space="preserve">40407054 Aikuislukion tuntiopettaja/muu </t>
  </si>
  <si>
    <t>40804008 Musiikkioppil. ammatillisen koulutuksen opettaja</t>
  </si>
  <si>
    <t>40804012 Musiikkioppil.opettaja/ykkt</t>
  </si>
  <si>
    <t>40804013 Musiikkioppil.opettaja/muu tutk.</t>
  </si>
  <si>
    <t>40804014 Musiikkioppil.opettaja/amk ym.</t>
  </si>
  <si>
    <t>40807027 Musiikkioppil. tuntiopettaja/muu tutk</t>
  </si>
  <si>
    <t>40807028 Musiikkioppil. tuntiopettaja/amk ym.</t>
  </si>
  <si>
    <t>40904001 Ammatillisten aineiden lehtori/ykkt</t>
  </si>
  <si>
    <t>40904002 Ammatillisten aineiden lehtori/muu tutkinto</t>
  </si>
  <si>
    <t>40904005 Amm.oppilaitoksen yht.ain.lehtori/ykkt</t>
  </si>
  <si>
    <t>40904006 Amm.oppilaitoksen yht.ain.lehtori/muu</t>
  </si>
  <si>
    <t>40907015 Amm.opp/tuntiopettaja/amm.aineet/ykkt</t>
  </si>
  <si>
    <t>40907016 Amm.opp/tuntiopettaja/amm.aineet/amk, ins. ym.</t>
  </si>
  <si>
    <t>40907019 Amm.opp/tuntiopettaja/yht.aineet/ykkt</t>
  </si>
  <si>
    <t>40907020 Amm.opp/tuntiopettaja/yht.aineet/muu tutk.</t>
  </si>
  <si>
    <t>41404003 Kauppaoppilaitoksen lehtori/ykkt</t>
  </si>
  <si>
    <t>41404004 Kauppaoppilaitoksen lehtori/kkt</t>
  </si>
  <si>
    <t>41407011 Kauppaoppil. tuntiopettaja/ykkt</t>
  </si>
  <si>
    <t>41407012 Kauppaoppil. tuntiopettaja/kkt</t>
  </si>
  <si>
    <t>41804002 Taide- ja viestintä/lehtori amm.aineet/ykkt</t>
  </si>
  <si>
    <t>41804003 Taide- ja viestintä/lehtori amm.aineet/korkeakoulututk.</t>
  </si>
  <si>
    <t>41804004 Taide- ja viestintä/lehtori amm.aineet/opistoaste</t>
  </si>
  <si>
    <t>41804005 Taide- ja viestintä/lehtori amm.aineet/taidekoulu</t>
  </si>
  <si>
    <t>41804008 Taide- ja viestintä/lehtori yl.aineet/ykkt</t>
  </si>
  <si>
    <t>41804009 Taide- ja viestintä/lehtori yl.aineet/korkeakoulututk.</t>
  </si>
  <si>
    <t>41807002 Taide- ja viestintä/tuntiop./amm.aineet/ykkt</t>
  </si>
  <si>
    <t>41807003 Taide- ja viestintä/tuntiop./amm.aineet/korkeakoulututk.</t>
  </si>
  <si>
    <t>41807004 Taide- ja viestintä/tuntiop./amm.aineet/opistoaste</t>
  </si>
  <si>
    <t>41807005 Taide- ja viestintä/tuntiop./amm.aineet/taidekoulu</t>
  </si>
  <si>
    <t>41807008 Taide- ja viestintä/tuntiop./yl.aineet/ykkt</t>
  </si>
  <si>
    <t>41807009 Taide- ja viestintä/tuntiop./yl.aineet/opistoaste</t>
  </si>
  <si>
    <t>41904008 Metsä- ja puu/lehtori amm.aineet/ykkt</t>
  </si>
  <si>
    <t>41904009 Metsä- ja puu/lehtori amm.aineet/amk tai ins.</t>
  </si>
  <si>
    <t>41904014 Metsä- ja puu/lehtori yhteiset aineet/ykkt</t>
  </si>
  <si>
    <t>41904015 Metsä- ja puu/lehtori yhteiset aineet/korkeakoulututk.</t>
  </si>
  <si>
    <t>41907008 Metsä- ja puu/tuntiop./amm.aineet/ykkt</t>
  </si>
  <si>
    <t>41907009 Metsä- ja puu/tuntiop./amm.aineet/amk tai ins.</t>
  </si>
  <si>
    <t>41907014 Metsä- ja puu/tuntiop./yht.aineet/ykkt</t>
  </si>
  <si>
    <t>41907015 Metsä- ja puu/tuntiop./yht.aineet/korkeakoulututk.</t>
  </si>
  <si>
    <t>Hitun</t>
  </si>
  <si>
    <t>Epäp al</t>
  </si>
  <si>
    <t>On</t>
  </si>
  <si>
    <t>2. Valitse kalleusluokka:</t>
  </si>
  <si>
    <t>1. Valitse hinnoittelutunnus:</t>
  </si>
  <si>
    <t>epäpale ei mahd</t>
  </si>
  <si>
    <t>Tehtäväkohtainen palkka ei voi olla pienempi kuin peruspalkka!</t>
  </si>
  <si>
    <t>Virheen kommentti:</t>
  </si>
  <si>
    <t>epäpale valittu</t>
  </si>
  <si>
    <t>virhe</t>
  </si>
  <si>
    <t>Epäpät ale</t>
  </si>
  <si>
    <t>Poista kysymyksen 3 syötetty palkka tai valitse 'On epäpätevyysalennus' !</t>
  </si>
  <si>
    <t>(ei virheitä)</t>
  </si>
  <si>
    <t>40307054 Vuosiluokkien 1-6 tuntiopettaja./ykkt ja aineenopet. kelpoisuus</t>
  </si>
  <si>
    <t>TEHTÄVÄKOHTAINEN</t>
  </si>
  <si>
    <t>PALKKA:</t>
  </si>
  <si>
    <t>OPETUS-</t>
  </si>
  <si>
    <t>VELVOLLISUUS:</t>
  </si>
  <si>
    <t>Vuosisidonnaisen lisän prosentit</t>
  </si>
  <si>
    <t>5v</t>
  </si>
  <si>
    <t>8v</t>
  </si>
  <si>
    <t>10v</t>
  </si>
  <si>
    <t>15v</t>
  </si>
  <si>
    <t>20v</t>
  </si>
  <si>
    <t>0v</t>
  </si>
  <si>
    <t>vuosisid osa</t>
  </si>
  <si>
    <t>5 vuotta</t>
  </si>
  <si>
    <t>8 vuotta</t>
  </si>
  <si>
    <t>10 vuotta</t>
  </si>
  <si>
    <t>15 vuotta</t>
  </si>
  <si>
    <t>20 vuotta</t>
  </si>
  <si>
    <t>Vuosisidonnaisen lisän prosentit, kumulatiivinen</t>
  </si>
  <si>
    <t>alle 5 vuotta</t>
  </si>
  <si>
    <t>tuntia/vko</t>
  </si>
  <si>
    <t>tuntia/kk</t>
  </si>
  <si>
    <t>+ Vuosisidonnainen osa</t>
  </si>
  <si>
    <t xml:space="preserve">   Tehtäväkohtainen palkka</t>
  </si>
  <si>
    <t xml:space="preserve">  = KOKONAISANSIOT YHTEENSÄ</t>
  </si>
  <si>
    <t>Toteutuva kommentti</t>
  </si>
  <si>
    <t>LASKELMA VALMIS</t>
  </si>
  <si>
    <t>VUOSISIDONNAINEN OSA:</t>
  </si>
  <si>
    <t>e/tunti</t>
  </si>
  <si>
    <t>Sivut.tuntiop. tuntipalkkio</t>
  </si>
  <si>
    <t>Vuosiv. ylitunnin     a-hinta</t>
  </si>
  <si>
    <t>Kertatuntipalkkion  a-hinta</t>
  </si>
  <si>
    <t>40301101 Ala-asteen rehtori, 12-23</t>
  </si>
  <si>
    <t>40301201 Ala-asteen rehtori, 24-30</t>
  </si>
  <si>
    <t>40301102 Yläasteen rehtori, -6</t>
  </si>
  <si>
    <t>40301202 Yläasteen rehtori, 7-14</t>
  </si>
  <si>
    <t>40301302 Yläasteen rehtori, 15-19</t>
  </si>
  <si>
    <t>40301103 Erityiskoulun reht., 6-11</t>
  </si>
  <si>
    <t>40301203 Erityiskoulun reht., 12-20</t>
  </si>
  <si>
    <t>40301303 Erityiskoulun reht., 21-25</t>
  </si>
  <si>
    <t>40301403 Erityiskoulun reht., 26-</t>
  </si>
  <si>
    <t>40302000 Peruskoulun kokonaistyöajassa oleva apulaisrehtori</t>
  </si>
  <si>
    <t>40402000 Lukion kokonaistyöajassa oleva apulaisrehtori</t>
  </si>
  <si>
    <t>40401005 Lukion rehtori</t>
  </si>
  <si>
    <t>40401011 Aikuislukion rehtori</t>
  </si>
  <si>
    <t>40304066 Peruskoulun oppilaanohjaaja</t>
  </si>
  <si>
    <t>40304067 Peruskoulun oppilaanohjaaja, ei kelpoisuutta</t>
  </si>
  <si>
    <t>40304028 Peruskoulun luokanopet./ykkt ja aineenopet. kelpoisuus</t>
  </si>
  <si>
    <t>40901024 Ammatillisen oppilaitoksen rehtori</t>
  </si>
  <si>
    <t>40003003 Opinto-ohjaaja/ylempi korkeak. tutkinto</t>
  </si>
  <si>
    <t>40003004 Opinto-ohjaaja/muu tutkinto</t>
  </si>
  <si>
    <t>42004003 Merenkulkuoppil. laboratorioinsinööri</t>
  </si>
  <si>
    <t>43004004 Amm.aikuisk.keskuksen kokaik.opettaja/Ylempi k.k.tutk.</t>
  </si>
  <si>
    <t>43004005 Amm.aikuisk.keskuksen kokaik.opettaja/Korkeak. ja ins. tutk.</t>
  </si>
  <si>
    <t>43004006 Amm.aikuisk.keskuksen kokaik.opettaja/Opistoasteen tutkinto</t>
  </si>
  <si>
    <t>43004007 Amm.aikuisk.keskuksen kokaik.opettaja/Muu muu tutkinto</t>
  </si>
  <si>
    <t>40801002 Musiikkioppilaitoksen rehtori</t>
  </si>
  <si>
    <t>40802005 Musiikkioppilaitoksen apulaisrehtori</t>
  </si>
  <si>
    <t>40807026 Musiikkioppil. tuntiopettaja/ykkt</t>
  </si>
  <si>
    <t>40701011 Kansanopiston rehtori</t>
  </si>
  <si>
    <t>40704013 Kansanopiston opettaja/ykkt</t>
  </si>
  <si>
    <t>40704014 Kansanopiston opettaja/muu tutk.</t>
  </si>
  <si>
    <t>40704021 Kansanopiston opettaja/ykkt (vaihtoehto 2)</t>
  </si>
  <si>
    <t>40704022 Kansanopiston opettaja/akkt (vaihtoehto 2)</t>
  </si>
  <si>
    <t>40704023 Kansanopiston opettaja/muu tutk.(vaihtoehto 2)</t>
  </si>
  <si>
    <t>40501001 Lasten ja nuorten taidekoulun rehtori/ykkt</t>
  </si>
  <si>
    <t>40501002 Lasten ja nuorten taidekoulun rehtori/kuv.taidon op. tutk.</t>
  </si>
  <si>
    <t>40504004 Lasten ja nuorten taidekoulun op. v.e. 1</t>
  </si>
  <si>
    <t>40504005 Lasten ja nuorten taidekoulun op. v.e. 2</t>
  </si>
  <si>
    <t>+ Vuosiviikkoylituntipalkkiot yht</t>
  </si>
  <si>
    <t xml:space="preserve">   Peruspalkka</t>
  </si>
  <si>
    <t>opv-ope</t>
  </si>
  <si>
    <t>%-alaraja</t>
  </si>
  <si>
    <t>tuntiopettaja</t>
  </si>
  <si>
    <t>Alennettu palkka ei voi olla hinnoittelutunnuksen mukaista peruspalkkaa suurempi!</t>
  </si>
  <si>
    <t>Alennettu peruspalkka ei mahdollinen ko. hinnoittelussa. Valitse uudelleen!</t>
  </si>
  <si>
    <t>40407037 Lukion tuntiopettaja/ykkt ja lukio-/perusopetuksen kelp. tai aiempi vanh. lehtorin kelp.</t>
  </si>
  <si>
    <t>Tuntiopettajan tuntipalkkio</t>
  </si>
  <si>
    <t>VÄHIMMÄISPALKKA:</t>
  </si>
  <si>
    <t>PALVELUVUODET:</t>
  </si>
  <si>
    <t>YLITUNTIPALKKIOIDEN LKM:</t>
  </si>
  <si>
    <t xml:space="preserve">   Palkka</t>
  </si>
  <si>
    <t>+ Epämukavan työajan lisät yht.</t>
  </si>
  <si>
    <t>0 vuotta palvelua</t>
  </si>
  <si>
    <t>10 vuotta palvelua</t>
  </si>
  <si>
    <t>15 vuotta palvelua</t>
  </si>
  <si>
    <t>0 vuotta</t>
  </si>
  <si>
    <t>Alaraja</t>
  </si>
  <si>
    <t>Yläraja</t>
  </si>
  <si>
    <t>Osio E</t>
  </si>
  <si>
    <t>Hitu</t>
  </si>
  <si>
    <t>TYÖAIKALISÄT:</t>
  </si>
  <si>
    <t>%:a</t>
  </si>
  <si>
    <t>5. Syötä palkka:</t>
  </si>
  <si>
    <t>MUUT KORVAUKSET JA LISÄT:</t>
  </si>
  <si>
    <t>1 kl</t>
  </si>
  <si>
    <t>2 kl</t>
  </si>
  <si>
    <t>6. Syötä varsinaiseen palkkaan kuuluvat</t>
  </si>
  <si>
    <t>lisät yhteensä:</t>
  </si>
  <si>
    <t>9. Syötä muiden korvausten ja lisien euromäärä yhteensä:</t>
  </si>
  <si>
    <t>7. Syötä muut</t>
  </si>
  <si>
    <t>+ Muut korvaukset ja lisät yht</t>
  </si>
  <si>
    <t>+ Kertatuntipalkkiot yht</t>
  </si>
  <si>
    <t>40003001 Apulaisrehtori ja aikuiskoulutusjohtaja/ykkt</t>
  </si>
  <si>
    <t>40003002 Apulaisrehtori ja aikuiskoulutusjohtaja/muu tutkinto</t>
  </si>
  <si>
    <t>Tehtäväkohtaisen palkan asteikot / Peruspalkat:</t>
  </si>
  <si>
    <t>Hinnoittelu-</t>
  </si>
  <si>
    <t>Osio/</t>
  </si>
  <si>
    <t>tunnus</t>
  </si>
  <si>
    <t>Osio B</t>
  </si>
  <si>
    <t>Liite 1</t>
  </si>
  <si>
    <t>Esiluokanopettaja/muu kuin edellä mainittu</t>
  </si>
  <si>
    <t>Esiopetuksen tuntiopettaja/muu kuin edellä mainittu</t>
  </si>
  <si>
    <t>Liite 2</t>
  </si>
  <si>
    <t>Liite 3</t>
  </si>
  <si>
    <t>Aikuislukion ja aikuislinjan lehtori/korkeakoulututkinto</t>
  </si>
  <si>
    <t>Osio C</t>
  </si>
  <si>
    <t>Apulaisrehtori ja aikuiskoulutusjohtaja/muu tutkinto</t>
  </si>
  <si>
    <t>Opinto-ohjaaja/muu tutkinto</t>
  </si>
  <si>
    <t>Liite 4</t>
  </si>
  <si>
    <t>Liite 5</t>
  </si>
  <si>
    <t>Liite 6</t>
  </si>
  <si>
    <t>Liite 7</t>
  </si>
  <si>
    <t>Liite 8</t>
  </si>
  <si>
    <t>Liite 9</t>
  </si>
  <si>
    <t>Liite 10</t>
  </si>
  <si>
    <t>Liite 11</t>
  </si>
  <si>
    <t>Lasten ja nuorten taidekoulun tuntiopettaja</t>
  </si>
  <si>
    <t>Liite 12</t>
  </si>
  <si>
    <t>Kansalaisopiston tuntiopettaja</t>
  </si>
  <si>
    <t>Liite 13</t>
  </si>
  <si>
    <t>Tuntipalkat:</t>
  </si>
  <si>
    <t>Musiikkioppilaitoksen sivutoimisen tuntiopettajan tuntipalkkio:</t>
  </si>
  <si>
    <t>Muu soveltuva tutkinto taikka aiempi opettajan tai säestäjän kelpoisuus</t>
  </si>
  <si>
    <t>Lasten ja nuorten taidekoulun tuntiopettajan tuntipalkkio:</t>
  </si>
  <si>
    <t>Kansalaisopiston tuntiopettajan tuntipalkkio:</t>
  </si>
  <si>
    <t>Kansanopiston tuntiopettajan tuntipalkkio:</t>
  </si>
  <si>
    <t xml:space="preserve">40807029 Musiikkioppil. sivutoiminen tuntiop/soveltuva ylempi korkeakoulututkinto </t>
  </si>
  <si>
    <t>40807030 Musiikkioppil. sivutoiminen tuntiop/soveltuva ammattikorkeakoulututkinto, konservatorion jatkotutkinto tai aiempi lehtorin kelpoisuus</t>
  </si>
  <si>
    <t>40807031 Musiikkioppil. sivutoiminen tuntiop/muu soveltuva tutkinto taikka aiempi opettajan tai säestäjän kelpoisuus</t>
  </si>
  <si>
    <t>40507040 Lasten ja nuorten taidekoulun tuntiopettaja</t>
  </si>
  <si>
    <t>40601001 Kansalaisopistojen rehtori</t>
  </si>
  <si>
    <t>40602002 Kansalaisopistojen apulaisrehtori</t>
  </si>
  <si>
    <t>40604008 Kansalaisopistojen suunnittelijaopettaja/ykkt</t>
  </si>
  <si>
    <t>40604009 Kansalaisopistojen suunnittelijaopettaja/muu</t>
  </si>
  <si>
    <t>40604006 Kansalaisopiston opettaja/ykkt</t>
  </si>
  <si>
    <t>40604007 Kansalaisopiston opettaja/muu tutk.</t>
  </si>
  <si>
    <t>40607033 Kansalaisopiston tuntiopettaja</t>
  </si>
  <si>
    <t>Sivut tuntipalkkio</t>
  </si>
  <si>
    <t>I &amp; II</t>
  </si>
  <si>
    <t>vain tuntipalkkio</t>
  </si>
  <si>
    <t>Kyllä</t>
  </si>
  <si>
    <t>Ei</t>
  </si>
  <si>
    <t>aikk</t>
  </si>
  <si>
    <t>Aikuiskoulutuskeskukset (Osio E)</t>
  </si>
  <si>
    <t>OSIO E</t>
  </si>
  <si>
    <t>Palveluvuosia</t>
  </si>
  <si>
    <t xml:space="preserve"> 4. Valitse vuosien lkm:</t>
  </si>
  <si>
    <t xml:space="preserve"> 3. Valitse vuosien lkm:</t>
  </si>
  <si>
    <t>+ Lisätyön korvaukset yht.</t>
  </si>
  <si>
    <t xml:space="preserve">6. Syötä muiden korvausten ja lisien </t>
  </si>
  <si>
    <t>euromäärä yht:</t>
  </si>
  <si>
    <t>7. Syötä lisätyön tunnit:</t>
  </si>
  <si>
    <t>8. Syötä ilta- ja lauantaityön tunnit:</t>
  </si>
  <si>
    <t>9. Syötä yö- ja sunnuntaityön tunnit:</t>
  </si>
  <si>
    <t>MUUT LISÄT:</t>
  </si>
  <si>
    <t>+ Muut lisät yht.</t>
  </si>
  <si>
    <t>Peruskoulun kokonaistyöajassa oleva apulaisrehtori (osio B 5 §)</t>
  </si>
  <si>
    <t>Lukion kokonaistyöajassa oleva apulaisrehtori (osio B 5 §)</t>
  </si>
  <si>
    <t>Lukion rehtori (osio B 4 §)</t>
  </si>
  <si>
    <t>Aikuislukion rehtori (osio B 4 §)</t>
  </si>
  <si>
    <t>Peruskoulun oppilaanohjaaja (osio B 6 §)</t>
  </si>
  <si>
    <t>Kansanopiston tuntiopettaja</t>
  </si>
  <si>
    <t>Ammatillisten aineiden lehtori/soveltuva opistoasteen tutkinto</t>
  </si>
  <si>
    <t>Ammatillisten aineiden lehtori/muu soveltuva tutkinto tai koulutus</t>
  </si>
  <si>
    <t>40904003 Ammatillisten aineiden lehtori/soveltuva opistoasteen tutkinto</t>
  </si>
  <si>
    <t>40907017 Amm.opp/tuntiopettaja/soveltuva opistoasteen tutkinto</t>
  </si>
  <si>
    <t>40904008 Ammatillisten aineiden lehtori/muu soveltuva tutkinto tai koulutus</t>
  </si>
  <si>
    <t>40907022 Amm.opp/tuntiopettaja/muu soveltuva tutkinto tai koulutus</t>
  </si>
  <si>
    <t>41904010 Metsä- ja puu/lehtori amm.aineet/opistoasteen tutkinto</t>
  </si>
  <si>
    <t>41907010 Metsä- ja puu/tuntiop./amm.aineet/opistoasteen tutkinto</t>
  </si>
  <si>
    <t>41907018 Metsä- ja puu/tuntiop./amm.aineet/muu</t>
  </si>
  <si>
    <t>41904018 Metsä- ja puu/lehtori amm.aineet/muu</t>
  </si>
  <si>
    <t xml:space="preserve">Soveltuva ylempi korkeakoulututkinto tai soveltuva ylempi ammattikorkeakoulututkinto </t>
  </si>
  <si>
    <t>Soveltuva ammattikorkeakoulututkinto, konservatorion jatkotutkinto tai aiempi lehtorin kelpoisuus</t>
  </si>
  <si>
    <t>PERUSPALKKA:</t>
  </si>
  <si>
    <t xml:space="preserve">   Palkan alaraja</t>
  </si>
  <si>
    <t>MAHDOLLINEN EPÄPÄTEVYYS:</t>
  </si>
  <si>
    <t>2. Syötä alennus-%, jos ei kelpoisuutta</t>
  </si>
  <si>
    <t>3. Syötä alennus-%, jos ei kelpoisuutta</t>
  </si>
  <si>
    <t>40301101 Peruskoulu -  Vuosiluokkia 1–6 käsittävän koulun rehtori, 12–23 palkkaperusteryhmää</t>
  </si>
  <si>
    <t>40301201 Peruskoulu -  Vuosiluokkia 1–6 käsittävän koulun rehtori, 24–30 palkkaperusteryhmää</t>
  </si>
  <si>
    <t>40301102 Peruskoulu -  Vuosiluokkien 7–9 käsittävän koulun rehtori, –6 palkkaperusteryhmää</t>
  </si>
  <si>
    <t>40301202 Peruskoulu -  Vuosiluokkia 7–9 käsittävän koulun rehtori, 7–14 palkkaperusteryhmää</t>
  </si>
  <si>
    <t>40301302 Peruskoulu -  Vuosiluokkia 7–9 käsittävän koulun rehtori, 15–19 palkkaperusteryhmää</t>
  </si>
  <si>
    <t>40301103 Peruskoulu -  Erityiskoulun rehtori, 6–11 palkkaperusteryhmää</t>
  </si>
  <si>
    <t>40301203 Peruskoulu -  Erityiskoulun rehtori, 12–20 palkkaperusteryhmää</t>
  </si>
  <si>
    <t>40301303 Peruskoulu -  Erityiskoulun rehtori, 21–25 palkkaperusteryhmää</t>
  </si>
  <si>
    <t>40301403 Peruskoulu -  Erityiskoulun rehtori, 26– palkkaperusteryhmää</t>
  </si>
  <si>
    <t>40302000 Peruskoulu -  Peruskoulun kokonaistyöajassa oleva apulaisrehtori (osio B 5 §)</t>
  </si>
  <si>
    <t>40402000 Lukio -  Lukion kokonaistyöajassa oleva apulaisrehtori (osio B 5 §)</t>
  </si>
  <si>
    <t>40401005 Lukio -  Lukion rehtori (osio B 4 §)</t>
  </si>
  <si>
    <t>40401011 Aikuislukio -  Aikuislukion rehtori (osio B 4 §)</t>
  </si>
  <si>
    <t>40304066 Peruskoulu -  Peruskoulun oppilaanohjaaja (osio B 6 §)</t>
  </si>
  <si>
    <t>40304067 Peruskoulu -  Peruskoulun oppilaanohjaaja, ei kelpoisuutta (osio B 6 § 2 mom.)</t>
  </si>
  <si>
    <t>40304005 Peruskoulu -  Lehtori/ylempi korkeakoulututkinto ja perus-/lukio-opetusta antavan opettajan kelpoisuus tai aiempi vanhemman lehtorin kelpoisuus</t>
  </si>
  <si>
    <t>40304007 Peruskoulu -  Lehtori/muu kuin em. perus-, aineen-, luokan- tai erityisopetuksen opettajan kelpoisuus</t>
  </si>
  <si>
    <t>40304008 Peruskoulu -  Lehtori/ylempi korkeakoulututkinto</t>
  </si>
  <si>
    <t>40304009 Peruskoulu -  Lehtori/korkeakoulututkinto</t>
  </si>
  <si>
    <t>40304010 Peruskoulu -  Lehtori/muu kuin edellä mainittu</t>
  </si>
  <si>
    <t>40304012 Peruskoulu -  Erityisopetuksen opettaja/ylempi korkeakoulututkinto ja erityisopetusta antavan opettajan kelpoisuus</t>
  </si>
  <si>
    <t>40304014 Peruskoulu -  Erityisopetuksen opettaja/alempi korkeakoulututkinto ja erityisopetusta antavan opettajan kelpoisuus</t>
  </si>
  <si>
    <t>40304013 Peruskoulu -  Erityisopetuksen opettaja/erityisopetusta antavan opettajan kelpoisuus</t>
  </si>
  <si>
    <t>40304015 Peruskoulu -  Erityisopetuksen opettaja/ylempi korkeakoulututkinto ja perus/lukio-opetusta antavan opettajan kelpoisuus</t>
  </si>
  <si>
    <t>40304016 Peruskoulu -  Vaikeimmin kehitysvammaisille (EHA 2) annettavan opetuksen erityisopettajan kelpoisuus tai perus-/lukio-opetusta antavan opettajan kelpoisuus</t>
  </si>
  <si>
    <t>40304017 Peruskoulu -  Erityisopetuksen opettaja/muu kuin edellä mainittu</t>
  </si>
  <si>
    <t>40304028 Peruskoulu -  Luokanopettaja/luokanopettajan kelpoisuus, ylempi korkeakoulututkinto,  aineenopettajan kelpoisuus jossakin peruskoulussa yhteisenä opetettavassa aineessa</t>
  </si>
  <si>
    <t>40304030 Peruskoulu -  Luokanopettaja/ylempi korkeakoulututkinto ja perus-/lukio-opetusta antavan opettajan kelpoisuus</t>
  </si>
  <si>
    <t>40304031 Peruskoulu -  Luokanopettaja/perus-/lukio-opetusta antavan opettajan kelpoisuus</t>
  </si>
  <si>
    <t>40304098 Peruskoulu -  Luokanopettaja/korkeakoulututkinto/lastentarhanopettajan tutkinto</t>
  </si>
  <si>
    <t>40304033 Peruskoulu -  Luokanopettaja/muu kuin edellä mainittu</t>
  </si>
  <si>
    <t>40304020 Peruskoulu -  Esiluokanopettaja/ylempi korkeakoulututkinto ja perus-/lukio-opetusta antavan opettajan kelpoisuus</t>
  </si>
  <si>
    <t>40304024 Peruskoulu -  Esiluokanopettaja/erityisesiluokan opettaja jolla erityislastentarhanopettajan kelpoisuus</t>
  </si>
  <si>
    <t>40304021 Peruskoulu -  Esiluokanopettaja/asetuksen 986/1998 7 §:n mukainen kelpoisuus</t>
  </si>
  <si>
    <t>40304022 Peruskoulu -  Esiluokanopettaja/muu kuin edellä mainittu</t>
  </si>
  <si>
    <t xml:space="preserve">40307038 Peruskoulu -  Vuosiluokkien 7–9 tuntiopettaja/ylempi korkeakoulututkinto ja perus-/lukio-opetusta antavan opettajan kelpoisuus tai aiempi vanhemman lehtorin kelpoisuus  </t>
  </si>
  <si>
    <t>40307040 Peruskoulu -  Vuosiluokkien 7–9 tuntiopettaja/muu kuin em. perus-, aineen-, luokan- tai erityisopetuksen opettajan kelpoisuus</t>
  </si>
  <si>
    <t>40307041 Peruskoulu -  Vuosiluokkien 7–9 tuntiopettaja/ylempi korkeakoulututkinto</t>
  </si>
  <si>
    <t>40307042 Peruskoulu -  Vuosiluokkien 7–9 tuntiopettaja/korkeakoulututkinto</t>
  </si>
  <si>
    <t>40307043 Peruskoulu -  Vuosiluokkien 7–9 tuntiopettaja/muu kuin edellä mainittu</t>
  </si>
  <si>
    <t>40307044 Peruskoulu -  Erityisopetuksen tuntiopettaja/ylempi korkeakoulututkinto ja erityisopettajan kelpoisuus</t>
  </si>
  <si>
    <t>40307046 Peruskoulu -  Erityisopetuksen tuntiopettaja/alempi korkeakoulututkinto ja erityisopettajan kelpoisuus</t>
  </si>
  <si>
    <t>40307045 Peruskoulu -  Erityisopetuksen tuntiopettaja/erityisopettajan kelpoisuus</t>
  </si>
  <si>
    <t>40307047 Peruskoulu -  Erityisopetuksen tuntiopettaja/ylempi korkeakoulututkinto ja perus/lukio-opetusta antavan opettajan kelpoisuus</t>
  </si>
  <si>
    <t>40307048 Peruskoulu -  Vaikeimmin kehitysvammaisille (EHA 2) annettavan opetuksen erityisopettajan kelpoisuus tai perus-/lukio-opetusta antavan opettajan kelpoisuus.</t>
  </si>
  <si>
    <t>40307049 Peruskoulu -  Erityisopetuksen tuntiopettaja/muu kuin edellä mainittu</t>
  </si>
  <si>
    <t>40307054 Peruskoulu -  Vuosiluokkien 1–6 tuntiopettaja/luokanopettajan kelpoisuus, ylempi korkeakoulututkinto ja aineenopettajan kelpoisuus jossakin peruskoulussa  yhteisenä opetettavassa aineessa</t>
  </si>
  <si>
    <t>40307056 Peruskoulu -  Vuosiluokkien 1–6 tuntiopettaja/ylempi korkeakoulututkinto ja perus-/lukio-opetusta antavan opettajan kelpoisuus</t>
  </si>
  <si>
    <t>40307057 Peruskoulu -  Vuosiluokkien 1–6 tuntiopettaja/perus-/lukio-opetusta antavan opettajan kelpoisuus</t>
  </si>
  <si>
    <t>40307099 Peruskoulu -  Vuosiluokkien 1–6 tuntiopettaja/korkeakoulututkinto/lastentarhanopettajan tutkinto</t>
  </si>
  <si>
    <t>40307059 Peruskoulu -  Vuosiluokkien 1–6 tuntiopettaja/muu kuin edellä mainittu</t>
  </si>
  <si>
    <t>40307062 Peruskoulu -  Esiopetuksen tuntiopettaja/ylempi korkeakoulututkinto ja perus-/lukio-opetusta antavan opettajan kelpoisuus</t>
  </si>
  <si>
    <t>40307065 Peruskoulu -  Esiopetuksen tuntiopettaja/erityisesiluokan opettajan, jolla on erityislastentarhanopettajan kelpoisuus</t>
  </si>
  <si>
    <t>40307063 Peruskoulu -  Esiopetuksen tuntiopettaja/asetuksen 986/1998 7 §:n mukainen kelpoisuus</t>
  </si>
  <si>
    <t>40307064 Peruskoulu -  Esiopetuksen tuntiopettaja/muu kuin edellä mainittu</t>
  </si>
  <si>
    <t>40404017 Lukio -  Lehtori/ylempi korkeakoulututkinto ja lukio-opetusta antavan opettajan kelpoisuus tai aiempi vanhemman lehtorin kelpoisuus</t>
  </si>
  <si>
    <t>40404018 Lukio -  Lehtori/aiempi lukio-opetusta antavan opettajan kelpoisuus tai perusopetusta antavan opettajan kelpoisuus</t>
  </si>
  <si>
    <t>40404022 Lukio -  Lehtori/korkeakoulututkinto</t>
  </si>
  <si>
    <t>40404023 Lukio -  Lehtori/muu kuin edellä mainittu tutkinto</t>
  </si>
  <si>
    <t>40407037 Lukio -  Tuntiopettaja/ylempi korkeakoulututkinto ja lukio-opetusta antavan opettajan kelpoisuus tai aiempi vanhemman lehtorin kelpoisuus</t>
  </si>
  <si>
    <t>40407039 Lukio -  Tuntiopettaja/aiempi  lukio-opetusta antavan opettajan kelpoisuus tai perusopetusta antavan opettajan kelpoisuus</t>
  </si>
  <si>
    <t>40407042 Lukio -  Tuntiopettaja/korkeakoulututkinto</t>
  </si>
  <si>
    <t>40407041 Lukio -  Tuntiopettaja/muu kuin edellä mainittu tutkinto</t>
  </si>
  <si>
    <t>40404024 Aikuislukio -  Aikuislukion ja aikuislinjan lehtori/ylempi korkeakoulututkinto ja lukio-opetusta antavan opettajan kelpoisuus tai aiempi vanhemman lehtorin kelpoisuus</t>
  </si>
  <si>
    <t>40404025 Aikuislukio -  Aikuislukion ja aikuislinjan lehtori/aiempi lukio-opetusta antavan tai muu aikuislukion opettajan kelpoisuus taikka perusopetusta antavan opettajan kelpoisuus</t>
  </si>
  <si>
    <t>40404027 Aikuislukio -  Aikuislukion ja aikuislinjan lehtori/korkeakoulututkinto</t>
  </si>
  <si>
    <t>40404026 Aikuislukio -  Aikuislukion ja aikuislinjan lehtori/muu kuin edellä mainittu</t>
  </si>
  <si>
    <t>40407050 Aikuislukio -  Tuntiopettaja/ylempi korkeakoulututkinto ja lukio-opetusta antavan opettajan kelpoisuus tai aiempi vanhemman lehtorin kelpoisuus</t>
  </si>
  <si>
    <t>40407051 Aikuislukio -  Tuntiopettaja/aiempi lukio-opetusta antavan tai muu aikuislukion opettajan kelpoisuus taikka perusopetusta antavan opettajan kelpoisuus</t>
  </si>
  <si>
    <t>40407053 Aikuislukio -  Tuntiopettaja/korkeakoulututkinto</t>
  </si>
  <si>
    <t>40407054 Aikuislukio -  Tuntiopettaja/muu kuin edellä mainittu</t>
  </si>
  <si>
    <t>40901024 Ammatilliset oppil. -  Rehtori</t>
  </si>
  <si>
    <t>40003001 Ammatilliset oppil. -  Apulaisrehtori ja aikuiskoulutusjohtaja/ylempi korkeakoulututkinto</t>
  </si>
  <si>
    <t>40003002 Ammatilliset oppil. -  Apulaisrehtori ja aikuiskoulutusjohtaja/muu tutkinto</t>
  </si>
  <si>
    <t>40003003 Ammatilliset oppil. -  Opinto-ohjaaja/ylempi korkeakoulututkinto</t>
  </si>
  <si>
    <t>40003004 Ammatilliset oppil. -  Opinto-ohjaaja/muu tutkinto</t>
  </si>
  <si>
    <t>40904001 Ammattioppil. -  Ammatillisten aineiden lehtori/soveltuva ylempi korkeakoulututkinto tai soveltuva ylempi ammattikorkeakoulututkinto</t>
  </si>
  <si>
    <t>40904002 Ammattioppil. -  Ammatillisten aineiden lehtori/soveltuva korkeakoulututkinto, insinöörin tai rakennusarkkitehdin tutkinto</t>
  </si>
  <si>
    <t>40904003 Ammattioppil. -  Ammatillisten aineiden lehtori/soveltuva opistoasteen tutkinto</t>
  </si>
  <si>
    <t>40904008 Ammattioppil. -  Ammatillisten aineiden lehtori/muu soveltuvat tutkinto tai koulutus</t>
  </si>
  <si>
    <t>40904005 Ammattioppil. -  Ammatillisen oppilaitoksen yhteisten aineiden lehtori/soveltuva ylempi korkeakoulututkinto</t>
  </si>
  <si>
    <t>40904006 Ammattioppil. -  Ammatillisen oppilaitoksen yhteisten aineiden lehtori/muu soveltuva tutkinto</t>
  </si>
  <si>
    <t>40907015 Ammattioppil. -  Ammatillinen oppilaitos/tuntiopettaja/ammatilliset aineet/soveltuva ylempi korkeakoulututkinto tai soveltuva ylempi ammattikorkeakoulututkinto</t>
  </si>
  <si>
    <t>40907016 Ammattioppil. -  Tuntiopettaja/ammatilliset aineet/soveltuva korkeakoulututkinto, insinöörin- tai rakennusarkkitehdin tutkinto</t>
  </si>
  <si>
    <t>40907017 Ammattioppil. -  Tuntiopettaja/ammatilliset aineet/soveltuva opistoasteen tutkinto</t>
  </si>
  <si>
    <t>40907022 Ammattioppil. -  Tuntiopettaja/ammatilliset aineet/muu soveltuva tutkinto tai koulutus</t>
  </si>
  <si>
    <t>40907019 Ammattioppil. -  Tuntiopettaja/yhteiset aineet/ylempi korkeakoulututkinto</t>
  </si>
  <si>
    <t>40907020 Ammattioppil. -  Tuntiopettaja/yhteiset aineet/muu soveltuva tutkinto</t>
  </si>
  <si>
    <t>41404003 Kauppaoppil. -  Lehtori/ylempi korkeakoulututkinto tai soveltuva ylempi ammattikorkeakoulututkinto</t>
  </si>
  <si>
    <t>41404004 Kauppaoppil. -  Lehtori/korkeakoulututkinto</t>
  </si>
  <si>
    <t>41404005 Kauppaoppil. -  Lehtori/muu soveltuva tutkinto</t>
  </si>
  <si>
    <t>41407011 Kauppaoppil. -  Tuntiopettaja/ylempi korkeakoulututkinto tai soveltuva ylempi ammattikorkeakoulututkinto</t>
  </si>
  <si>
    <t>41407012 Kauppaoppil. -  Tuntiopettaja/korkeakoulututkinto</t>
  </si>
  <si>
    <t>41407013 Kauppaoppil. -  Tuntiopettaja/muu tutkinto</t>
  </si>
  <si>
    <t>41804002 Taide- ja viestintäkultt.oppil. -  Lehtori/ammatilliset aineet/soveltuva ylempi korkeakoulututkinto tai soveltuva ylempi ammattikorkeakoulututkinto</t>
  </si>
  <si>
    <t>41804003 Taide- ja viestintäkultt.oppil. -  Lehtori/ammatilliset aineet/soveltuva korkeakoulututkinto</t>
  </si>
  <si>
    <t>41804004 Taide- ja viestintäkultt.oppil. -  Lehtori/ammatilliset aineet/soveltuva opistoasteen tutkinto</t>
  </si>
  <si>
    <t>41804005 Taide- ja viestintäkultt.oppil. -  Lehtori/ammatilliset aineet/muu soveltuva tutkinto tai vähintään kolmen vuoden soveltuvat opinnot taidekoulussa (tanssi- ja sirkusala)</t>
  </si>
  <si>
    <t>41804008 Taide- ja viestintäkultt.oppil. -  Lehtori/yhteiset aineet/ylempi korkeakoulututkinto</t>
  </si>
  <si>
    <t>41804009 Taide- ja viestintäkultt.oppil. -  Lehtori/yhteiset aineet/korkeakoulututkinto</t>
  </si>
  <si>
    <t>41807002 Taide- ja viestintäkultt.oppil. -  Tuntiopettaja/ammatilliset aineet/soveltuva ylempi korkeakoulututkinto tai soveltuva ylempi ammattikorkeakoulututkinto</t>
  </si>
  <si>
    <t>41807003 Taide- ja viestintäkultt.oppil. -  Tuntiopettaja/ammatilliset aineet/soveltuva korkeakoulututkinto</t>
  </si>
  <si>
    <t>41807004 Taide- ja viestintäkultt.oppil. -  Tuntiopettaja/ammatilliset aineet/soveltuva opistoasteen tutkinto</t>
  </si>
  <si>
    <t>41807005 Taide- ja viestintäkultt.oppil. -  Tuntiopettaja/ammatilliset aineet/muu soveltuva tutkinto tai vähintään kolmen vuoden soveltuvat opinnot taidekoulussa (tanssi- ja sirkusala)</t>
  </si>
  <si>
    <t>41807008 Taide- ja viestintäkultt.oppil. -  Tuntiopettaja/yhteiset aineet/ylempi korkeakoulututkinto</t>
  </si>
  <si>
    <t>41807009 Taide- ja viestintäkultt.oppil. -  Tuntiopettaja/yhteiset aineet/korkeakoulututkinto</t>
  </si>
  <si>
    <t>41604005 Sosiaali- ja terveysalan oppil. -  Lehtori/soveltuva ylempi korkeakoulututkinto tai soveltuva ylempi ammattikorkeakoulututkinto</t>
  </si>
  <si>
    <t>41604006 Sosiaali- ja terveysalan oppil. -  Lehtori/muu</t>
  </si>
  <si>
    <t>41607005 Sosiaali- ja terveysalan oppil. -  Tuntiopettaja/soveltuva ylempi korkeakoulututkinto tai soveltuva ylempi ammattikoreakoulututkinto</t>
  </si>
  <si>
    <t>41607006 Sosiaali- ja terveysalan oppil. -  Tuntiopettaja/muu</t>
  </si>
  <si>
    <t>41904008 Metsä- ja puutalousoppil. -  Lehtori/ammatilliset aineet/soveltuva ylempi korkeakoulututkinto tai soveltuva ylempi ammattikorkeakoulututkinto</t>
  </si>
  <si>
    <t>41904009 Metsä- ja puutalousoppil. -  Lehtori/ammatilliset aineet/soveltuva korkeakoulututkinto tai insinöörin tutkinto</t>
  </si>
  <si>
    <t>41904010 Metsä- ja puutalousoppil. -  Lehtori/ammatilliset aineet/soveltuva opistoasteen tutkinto</t>
  </si>
  <si>
    <t>41904018 Metsä- ja puutalousoppil. -  Lehtori/ammatilliset aineet/muu soveltuva tutkinto tai koulutus</t>
  </si>
  <si>
    <t>41904014 Metsä- ja puutalousoppil. -  Lehtori/yhteiset aineet/ylempi korkeakoulututkinto</t>
  </si>
  <si>
    <t>41904015 Metsä- ja puutalousoppil. -  Lehtori/yhteiset aineet/korkeakoulututkinto</t>
  </si>
  <si>
    <t>41907008 Metsä- ja puutalousoppil. -  Tuntiopettaja/ammatilliset aineet/soveltuva ylempi korkeakoulututkinto tai soveltuva ylempi ammattikorkeakoulututkinto</t>
  </si>
  <si>
    <t>41907009 Metsä- ja puutalousoppil. -  Tuntiopettaja/ammatilliset aineet/soveltuva korkeakoulututkinto tai insinöörin tutkinto</t>
  </si>
  <si>
    <t>41907010 Metsä- ja puutalousoppil. -  Tuntiopettaja/ammatilliset aineet/soveltuva opistoasteen tutkinto</t>
  </si>
  <si>
    <t>41907018 Metsä- ja puutalousoppil. -  Tuntiopettaja/ammatilliset aineet/muu soveltuva tutkinto tai koulutus</t>
  </si>
  <si>
    <t>41907014 Metsä- ja puutalousoppil. -  Tuntiopettaja/yhteiset aineet/ylempi korkeakoulututkinto</t>
  </si>
  <si>
    <t>41907015 Metsä- ja puutalousoppil. -  Tuntiopettaja/yhteiset aineet/korkeakoulututkinto</t>
  </si>
  <si>
    <t>42004003 Merenkulkuoppil. -  Laboratorioinsinööri</t>
  </si>
  <si>
    <t>42004010 Merenkulkuoppil. -  Lehtori/merenkulku- ja teknisissä aineissa/soveltuva ylempi korkeakoulututkinto tai soveltuva ylempi ammattikorkeakoulututkinto</t>
  </si>
  <si>
    <t>42004011 Merenkulkuoppil. -  Lehtori/merenkulku- ja teknisissä aineissa/muu tutkinto</t>
  </si>
  <si>
    <t>42004008 Merenkulkuoppil. -  Lehtori/ammatinopetus</t>
  </si>
  <si>
    <t>42004009 Merenkulkuoppil. -  Lehtori/työnopetus</t>
  </si>
  <si>
    <t>42004004 Merenkulkuoppil. -  Lehtori/yhteiset aineet/ylempi korkeakoulututkinto</t>
  </si>
  <si>
    <t>42004005 Merenkulkuoppil. -  Lehtori/yhteiset aineet/alempi korkeakoulututkinto</t>
  </si>
  <si>
    <t>42004006 Merenkulkuoppil. -  Lehtori/yhteiset aineet/muu tutkinto</t>
  </si>
  <si>
    <t>42007010 Merenkulkuoppil. -  Tuntiopettaja/merenkulku- ja teknillisissä aineissa/soveltuva ylempi korkeakoulututkinto tai soveltuva ylempi ammattikorkeakoulututkinto</t>
  </si>
  <si>
    <t>42007011 Merenkulkuoppil. -  Tuntiopettaja/merenkulku ja teknilliset aineet/muu tutkinto</t>
  </si>
  <si>
    <t>42007008 Merenkulkuoppil. -  Tuntiopettaja/ammatinopetus</t>
  </si>
  <si>
    <t>42007009 Merenkulkuoppil. -  Tuntiopettaja/työnopetus</t>
  </si>
  <si>
    <t>42007004 Merenkulkuoppil. -  Tuntiopettaja/yhteiset aineet/ylempi korkeakoulututkinto</t>
  </si>
  <si>
    <t>42007005 Merenkulkuoppil. -  Tuntiopettaja/yhteiset aineet/alempi korkeakoulututkinto</t>
  </si>
  <si>
    <t>42007006 Merenkulkuoppil. -  Tuntiopettaja/yhteiset aineet/muu tutkinto</t>
  </si>
  <si>
    <t>40801002 Musiikkioppil. -  Rehtori</t>
  </si>
  <si>
    <t>40802005 Musiikkioppil. -  Apulaisrehtori</t>
  </si>
  <si>
    <t>40804012 Musiikkioppil. -  Opettaja/soveltuva ylempi korkeakoulututkinto tai soveltuva ylempi ammattikorkeakoulututkinto</t>
  </si>
  <si>
    <t>40804014 Musiikkioppil. -  Opettaja/soveltuva ammattikorkeakoulututkinto, konservatorion jatkotutkinto tai aiempi lehtorin kelpoisuus</t>
  </si>
  <si>
    <t>40804013 Musiikkioppil. -  Opettaja/muu tutkinto tai aiempi opettajan tai säestäjän kelpoisuus</t>
  </si>
  <si>
    <t>40804008 Musiikkioppil. -  Ammatillisen koulutuksen opettaja</t>
  </si>
  <si>
    <t>40807026 Musiikkioppil. -  Tuntiopettaja/soveltuva ylempi korkeakoulututkinto tai soveltuva ylempi ammattikorkeakoulututkinto</t>
  </si>
  <si>
    <t>40807028 Musiikkioppil. -  Tuntiopettaja/soveltuva ammattikorkeakoulututkinto, konservatorion jatkotutkinto tai aiempi lehtorin kelpoisuus</t>
  </si>
  <si>
    <t>40807027 Musiikkioppil. -  Tuntiopettaja/muu soveltuva tutkinto tai aiempi opettajan tai säestäjän tutkinto</t>
  </si>
  <si>
    <t xml:space="preserve">40807029 Musiikkioppil. -  Musiikkioppil. sivutoiminen tuntiop/soveltuva ylempi korkeakoulututkinto </t>
  </si>
  <si>
    <t>40807030 Musiikkioppil. -  Musiikkioppil. sivutoiminen tuntiop/soveltuva ammattikorkeakoulututkinto, konservatorion jatkotutkinto tai aiempi lehtorin kelpoisuus</t>
  </si>
  <si>
    <t>40807031 Musiikkioppil. -  Musiikkioppil. sivutoiminen tuntiop/muu soveltuva tutkinto taikka aiempi opettajan tai säestäjän kelpoisuus</t>
  </si>
  <si>
    <t>40501001 Lasten ja nuorten taidekoulu -  Rehtori/taideteollisessa korkeakoulussa tai muussa korkeakoulussa suoritettu soveltuva ylempi korkeakoulututkinto</t>
  </si>
  <si>
    <t>40501002 Lasten ja nuorten taidekoulu -  Rehtori/taideteollisessa korkeakoulussa tai taideteollisessa oppilaitoksessa suoritettu kuvaamataidon opettajan tutkinto</t>
  </si>
  <si>
    <t>40504004 Lasten ja nuorten taidekoulu -  Taidekoulun opettaja vaihtoehto 1</t>
  </si>
  <si>
    <t>40504005 Lasten ja nuorten taidekoulu -  Taidekoulun opettaja vaihtoehto 2</t>
  </si>
  <si>
    <t>40507040 Lasten ja nuorten taidekoulu -  Lasten ja nuorten taidekoulun tuntiopettaja</t>
  </si>
  <si>
    <t>40601001 Kansalaisopisto -  Rehtori</t>
  </si>
  <si>
    <t>40602002 Kansalaisopisto -  Apulaisrehtori</t>
  </si>
  <si>
    <t>40604008 Kansalaisopisto -  Suunnittelijaopettaja/soveltuva ylempi korkeakoulututkinto tai soveltuva ylempi ammattikorkeakoulututkinto</t>
  </si>
  <si>
    <t>40604009 Kansalaisopisto -  Suunnittelijaopettaja/muu tutkinto tai erivapaus kansalaisopistonopettajan virkaan</t>
  </si>
  <si>
    <t>40604006 Kansalaisopisto -  Opettaja/soveltuva ylempi korkeakoulututkinto tai soveltuva ylempi ammattikorkeakoulututkinto</t>
  </si>
  <si>
    <t>40604007 Kansalaisopisto -  Opettaja/muu soveltuva tutkinto tai erivapaus kansalaisopistonopettajan virkaan</t>
  </si>
  <si>
    <t>40607033 Kansalaisopisto -  Kansalaisopiston tuntiopettaja</t>
  </si>
  <si>
    <t>40701011 Kansanopisto -  Rehtori</t>
  </si>
  <si>
    <t>40704013 Kansanopisto -  Opettaja/soveltuva ylempi korkeakoulututkinto tai soveltuva ylempi ammattikorkeakoulututkinto</t>
  </si>
  <si>
    <t>40704014 Kansanopisto -  Opettaja/muu soveltuva tutkinto tai erivapaus kansanopistonopettajan virkaan</t>
  </si>
  <si>
    <t>40704021 Kansanopisto -  Opettaja/soveltuva ylempi korkeakoulututkinto (vaihtoehto 2)</t>
  </si>
  <si>
    <t>40704022 Kansanopisto -  Opettaja/soveltuva alempi korkeakoulututkinto (vaihtoehto 2)</t>
  </si>
  <si>
    <t>40704023 Kansanopisto -  Opettaja/muu tutkinto (vaihtoehto 2)</t>
  </si>
  <si>
    <t>40707033 Kansanopisto -  Kansanopiston tuntiopettaja</t>
  </si>
  <si>
    <t>Ammatillinen vuosityöaika (Osio C liite 1)</t>
  </si>
  <si>
    <t>8 vuotta palvelua</t>
  </si>
  <si>
    <t>5 vuotta palvelua</t>
  </si>
  <si>
    <t>20 vuotta palvelua</t>
  </si>
  <si>
    <t>41103003 Opinto-ohjaaja/ylempi korkeakoulututkinto</t>
  </si>
  <si>
    <t>41103004 Opinto-ohjaaja/muu tutkinto</t>
  </si>
  <si>
    <t>41104001 Lehtori/soveltuva ylempi korkeakoulututkinto tai soveltuva ylempi ammattikorkeakoulututkinto</t>
  </si>
  <si>
    <t>41104002 Lehtori/soveltuva korkeakoulututkinto, insinöörin tai rakennusarkkitehdin tutkinto</t>
  </si>
  <si>
    <t>41104003 Lehtori/soveltuva opistoasteen tutkinto</t>
  </si>
  <si>
    <t>41104004 Lehtori/muu soveltuvat tutkinto tai koulutus</t>
  </si>
  <si>
    <t>41107001 Tuntiopettaja/soveltuva ylempi korkeakoulututkinto tai soveltuva ylempi ammattikorkeakoulututkinto</t>
  </si>
  <si>
    <t>41107002 Tuntiopettaja/soveltuva korkeakoulututkinto, insinöörin tai rakennusarkkitehdin tutkinto</t>
  </si>
  <si>
    <t>41107003 Tuntiopettaja/soveltuva opistoasteen tutkinto</t>
  </si>
  <si>
    <t>41107004 Tuntiopettaja/muu soveltuva tutkinto tai koulutus</t>
  </si>
  <si>
    <t xml:space="preserve">  Vähimmäispalkka</t>
  </si>
  <si>
    <t xml:space="preserve">40404066 Lukio - Lukion opinto-ohjaaja (osio B 6a § 1 mom.) </t>
  </si>
  <si>
    <t>40404067 Lukio - Lukion opinto-ohjaaja, ei kelpoisuutta (osio B 6a § 2 mom.)</t>
  </si>
  <si>
    <t xml:space="preserve">Lukion opinto-ohjaaja (osio B 6a § 1 mom.) </t>
  </si>
  <si>
    <t>Lukion opinto-ohjaaja, ei kelpoisuutta (osio B 6a § 2 mom.)</t>
  </si>
  <si>
    <t>Osio C 1</t>
  </si>
  <si>
    <t>40301301 Peruskoulu -  Vuosiluokkia 1–6 käsittävän koulun rehtori, 31–37 palkkaperusteryhmää</t>
  </si>
  <si>
    <t>40301401 Peruskoulu -  Vuosiluokkia 1–6 käsittävän koulun rehtori, 38– palkkaperusteryhmää</t>
  </si>
  <si>
    <t>40301502 Peruskoulu -  Vuosiluokkia 7–9 käsittävän koulun rehtori, 25– palkkaperusteryhmää</t>
  </si>
  <si>
    <t>40301401 Ala-asteen rehtori, 38-</t>
  </si>
  <si>
    <t>40301301 Ala-asteen rehtori, 31-37</t>
  </si>
  <si>
    <t>40301402 Yläasteen rehtori, 25-</t>
  </si>
  <si>
    <t>40301402 Yläasteen rehtori, 20-24</t>
  </si>
  <si>
    <t>40404066 Lukion oppilaanohjaaja</t>
  </si>
  <si>
    <t>40404067 Lukion oppilaanohjaaja, ei kelpoisuutta</t>
  </si>
  <si>
    <t>+ Työajan ylityskorvaukset alle 1700 t</t>
  </si>
  <si>
    <t>+ Työajan ylityskorvaukset yli 1700 t</t>
  </si>
  <si>
    <t>8. Syötä työajan ylityskorvausten tunnit alle 1700 t:</t>
  </si>
  <si>
    <t>40301402 Peruskoulu -  Vuosiluokkia 7–9 käsittävän koulun rehtori, 20–24</t>
  </si>
  <si>
    <t>TEHTÄVÄKOHTAINEN PALKKA:</t>
  </si>
  <si>
    <t>9. Syötä työajan ylityskorvauksten tunnit yli 1700 t:</t>
  </si>
  <si>
    <t>OSIO C Liite 1</t>
  </si>
  <si>
    <t>41103003</t>
  </si>
  <si>
    <t>41103004</t>
  </si>
  <si>
    <t>41104001</t>
  </si>
  <si>
    <t>41104002</t>
  </si>
  <si>
    <t>41104003</t>
  </si>
  <si>
    <t>41104004</t>
  </si>
  <si>
    <t>41107001</t>
  </si>
  <si>
    <t>41107002</t>
  </si>
  <si>
    <t>41107003</t>
  </si>
  <si>
    <t>41107004</t>
  </si>
  <si>
    <t>OSIO C Liite 1 Ammatillisen oppilaitoksen opetushenkilöstö</t>
  </si>
  <si>
    <t>10. Syötä ilta-, yö-, arkipyhä- ja viikonlopputyön t:</t>
  </si>
  <si>
    <t>OVTES palkat ja palkkiot 1.12.2018 lukien</t>
  </si>
  <si>
    <t>B ja F osioiden opettajien  8 v. vuosisidonnaisesta lisästä 1 prosenttiyksikkö tehtäväkohtaiseen palkkaan</t>
  </si>
  <si>
    <t>%</t>
  </si>
  <si>
    <t xml:space="preserve">C ja E osioiden tehtäväkohtaisten palkkojen tasokorotus </t>
  </si>
  <si>
    <t>Vuosiluokkia 1–6 käsittävän koulun rehtori, 12–23 palkkaperusteryhmää</t>
  </si>
  <si>
    <t>Vuosiluokkia 1–6 käsittävän koulun rehtori, 24–30 palkkaperusteryhmää</t>
  </si>
  <si>
    <t>Vuosiluokkia 1–6 käsittävän koulun rehtori, 31– 37 palkkaperusteryhmää</t>
  </si>
  <si>
    <t>Vuosiluokkia 1–6 käsittävän koulun rehtori, 38– palkkaperusteryhmää</t>
  </si>
  <si>
    <t>Vuosiluokkien 7–9 käsittävän koulun rehtori, –6 palkkaperusteryhmää</t>
  </si>
  <si>
    <t>Vuosiluokkia 7–9 käsittävän koulun rehtori, 7–14 palkkaperusteryhmää</t>
  </si>
  <si>
    <t>Vuosiluokkia 7–9 käsittävän koulun rehtori, 15–19 palkkaperusteryhmää</t>
  </si>
  <si>
    <t>Vuosiluokkia 7–9 käsittävän koulun rehtori, 20–24 palkkaperusteryhmää</t>
  </si>
  <si>
    <t>Vuosiluokkia 7–9 käsittävän koulun rehtori, 25– palkkaperusteryhmää</t>
  </si>
  <si>
    <t>Erityiskoulun rehtori, 6–11 palkkaperusteryhmää</t>
  </si>
  <si>
    <t>Erityiskoulun rehtori, 12–20 palkkaperusteryhmää</t>
  </si>
  <si>
    <t>Erityiskoulun rehtori, 21–25 palkkaperusteryhmää</t>
  </si>
  <si>
    <t>Erityiskoulun rehtori, 26– palkkaperusteryhmää</t>
  </si>
  <si>
    <t>Peruskoulun oppilaanohjaaja, ei kelpoisuutta (osio B 6 § 2 mom.)</t>
  </si>
  <si>
    <t>Lehtori/ylempi korkeakoulututkinto ja perus-/lukio-opetusta antavan opettajan kelpoisuus tai aiempi vanhemman lehtorin kelpoisuus</t>
  </si>
  <si>
    <t>Lehtori/muu kuin em. perus-, aineen-, luokan- tai erityisopetuksen opettajan kelpoisuus</t>
  </si>
  <si>
    <t>Lehtori/ylempi korkeakoulututkinto</t>
  </si>
  <si>
    <t>Lehtori/korkeakoulututkinto</t>
  </si>
  <si>
    <t>Lehtori/muu kuin edellä mainittu</t>
  </si>
  <si>
    <t>Erityisopetuksen opettaja/ylempi korkeakoulututkinto ja erityisopetusta antavan opettajan kelpoisuus</t>
  </si>
  <si>
    <t>Erityisopetuksen opettaja/alempi korkeakoulututkinto ja erityisopetusta antavan opettajan kelpoisuus</t>
  </si>
  <si>
    <t>Erityisopetuksen opettaja/erityisopetusta antavan opettajan kelpoisuus</t>
  </si>
  <si>
    <t>Erityisopetuksen opettaja/ylempi korkeakoulututkinto ja perus/lukio-opetusta antavan opettajan kelpoisuus</t>
  </si>
  <si>
    <t>Vaikeimmin kehitysvammaisille (EHA 2) annettavan opetuksen erityisopettajan kelpoisuus tai perus-/lukio-opetusta antavan opettajan kelpoisuus</t>
  </si>
  <si>
    <t>Erityisopetuksen opettaja/muu kuin edellä mainittu</t>
  </si>
  <si>
    <t>Luokanopettaja/luokanopettajan kelpoisuus, ylempi korkeakoulututkinto,  aineenopettajan kelpoisuus jossakin peruskoulussa yhteisenä opetettavassa aineessa</t>
  </si>
  <si>
    <t>Luokanopettaja/ylempi korkeakoulututkinto ja perus-/lukio-opetusta antavan opettajan kelpoisuus</t>
  </si>
  <si>
    <t>Luokanopettaja/perus-/lukio-opetusta antavan opettajan kelpoisuus</t>
  </si>
  <si>
    <t>Luokanopettaja/korkeakoulututkinto/lastentarhanopettajan tutkinto</t>
  </si>
  <si>
    <t>Luokanopettaja/muu kuin edellä mainittu</t>
  </si>
  <si>
    <t>Esiluokanopettaja/ylempi korkeakoulututkinto ja perus-/lukio-opetusta antavan opettajan kelpoisuus</t>
  </si>
  <si>
    <t>Esiluokanopettaja/erityisesiluokan opettaja jolla erityislastentarhanopettajan kelpoisuus</t>
  </si>
  <si>
    <t>Esiluokanopettaja/asetuksen 986/1998 7 §:n mukainen kelpoisuus</t>
  </si>
  <si>
    <t xml:space="preserve">Vuosiluokkien 7–9 tuntiopettaja/ylempi korkeakoulututkinto ja perus-/lukio-opetusta antavan opettajan kelpoisuus tai aiempi vanhemman lehtorin kelpoisuus  </t>
  </si>
  <si>
    <t>Vuosiluokkien 7–9 tuntiopettaja/muu kuin em. perus-, aineen-, luokan- tai erityisopetuksen opettajan kelpoisuus</t>
  </si>
  <si>
    <t>Vuosiluokkien 7–9 tuntiopettaja/ylempi korkeakoulututkinto</t>
  </si>
  <si>
    <t>Vuosiluokkien 7–9 tuntiopettaja/korkeakoulututkinto</t>
  </si>
  <si>
    <t>Vuosiluokkien 7–9 tuntiopettaja/muu kuin edellä mainittu</t>
  </si>
  <si>
    <t>Erityisopetuksen tuntiopettaja/ylempi korkeakoulututkinto ja erityisopettajan kelpoisuus</t>
  </si>
  <si>
    <t>Erityisopetuksen tuntiopettaja/alempi korkeakoulututkinto ja erityisopettajan kelpoisuus</t>
  </si>
  <si>
    <t>Erityisopetuksen tuntiopettaja/erityisopettajan kelpoisuus</t>
  </si>
  <si>
    <t>Erityisopetuksen tuntiopettaja/ylempi korkeakoulututkinto ja perus/lukio-opetusta antavan opettajan kelpoisuus</t>
  </si>
  <si>
    <t>Vaikeimmin kehitysvammaisille (EHA 2) annettavan opetuksen erityisopettajan kelpoisuus tai perus-/lukio-opetusta antavan opettajan kelpoisuus.</t>
  </si>
  <si>
    <t>Erityisopetuksen tuntiopettaja/muu kuin edellä mainittu</t>
  </si>
  <si>
    <t>Vuosiluokkien 1–6 tuntiopettaja/luokanopettajan kelpoisuus, ylempi korkeakoulututkinto ja aineenopettajan kelpoisuus jossakin peruskoulussa  yhteisenä opetettavassa aineessa</t>
  </si>
  <si>
    <t>Vuosiluokkien 1–6 tuntiopettaja/ylempi korkeakoulututkinto ja perus-/lukio-opetusta antavan opettajan kelpoisuus</t>
  </si>
  <si>
    <t>Vuosiluokkien 1–6 tuntiopettaja/perus-/lukio-opetusta antavan opettajan kelpoisuus</t>
  </si>
  <si>
    <t>Vuosiluokkien 1–6 tuntiopettaja/korkeakoulututkinto/lastentarhanopettajan tutkinto</t>
  </si>
  <si>
    <t>Vuosiluokkien 1–6 tuntiopettaja/muu kuin edellä mainittu</t>
  </si>
  <si>
    <t>Esiopetuksen tuntiopettaja/ylempi korkeakoulututkinto ja perus-/lukio-opetusta antavan opettajan kelpoisuus</t>
  </si>
  <si>
    <t>Esiopetuksen tuntiopettaja/erityisesiluokan opettajan, jolla on erityislastentarhanopettajan kelpoisuus</t>
  </si>
  <si>
    <t>Esiopetuksen tuntiopettaja/asetuksen 986/1998 7 §:n mukainen kelpoisuus</t>
  </si>
  <si>
    <t>Lehtori/ylempi korkeakoulututkinto ja lukio-opetusta antavan opettajan kelpoisuus tai aiempi vanhemman lehtorin kelpoisuus</t>
  </si>
  <si>
    <t>Lehtori/aiempi lukio-opetusta antavan opettajan kelpoisuus tai perusopetusta antavan opettajan kelpoisuus</t>
  </si>
  <si>
    <t>Lehtori/muu kuin edellä mainittu tutkinto</t>
  </si>
  <si>
    <t>Tuntiopettaja/ylempi korkeakoulututkinto ja lukio-opetusta antavan opettajan kelpoisuus tai aiempi vanhemman lehtorin kelpoisuus</t>
  </si>
  <si>
    <t>Tuntiopettaja/aiempi  lukio-opetusta antavan opettajan kelpoisuus tai perusopetusta antavan opettajan kelpoisuus</t>
  </si>
  <si>
    <t>Tuntiopettaja/korkeakoulututkinto</t>
  </si>
  <si>
    <t>Tuntiopettaja/muu kuin edellä mainittu tutkinto</t>
  </si>
  <si>
    <t>Aikuislukion ja aikuislinjan lehtori/ylempi korkeakoulututkinto ja lukio-opetusta antavan opettajan kelpoisuus tai aiempi vanhemman lehtorin kelpoisuus</t>
  </si>
  <si>
    <t>Aikuislukion ja aikuislinjan lehtori/aiempi lukio-opetusta antavan tai muu aikuislukion opettajan kelpoisuus taikka perusopetusta antavan opettajan kelpoisuus</t>
  </si>
  <si>
    <t>Aikuislukion ja aikuislinjan lehtori/muu kuin edellä mainittu</t>
  </si>
  <si>
    <t>Tuntiopettaja/aiempi lukio-opetusta antavan tai muu aikuislukion opettajan kelpoisuus taikka perusopetusta antavan opettajan kelpoisuus</t>
  </si>
  <si>
    <t>Tuntiopettaja/muu kuin edellä mainittu</t>
  </si>
  <si>
    <t>Rehtori</t>
  </si>
  <si>
    <t>Apulaisrehtori ja aikuiskoulutusjohtaja/ylempi korkeakoulututkinto</t>
  </si>
  <si>
    <t>Opinto-ohjaaja/ylempi korkeakoulututkinto</t>
  </si>
  <si>
    <t>Lehtori/soveltuva ylempi korkeakoulututkinto tai soveltuva ylempi ammattikorkeakoulututkinto</t>
  </si>
  <si>
    <t>Tuntiopettaja/soveltuva ylempi korkeakoulututkinto tai soveltuva ylempi ammattikorkeakoulututkinto</t>
  </si>
  <si>
    <t>Lehtori/soveltuva korkeakoulututkinto, insinöörin tai rakennusarkkitehdin tutkinto</t>
  </si>
  <si>
    <t>Tuntiopettaja/soveltuva korkeakoulututkinto, insinöörin tai rakennusarkkitehdin tutkinto</t>
  </si>
  <si>
    <t>Lehtori/soveltuva opistoasteen tutkinto</t>
  </si>
  <si>
    <t>Tuntiopettaja/soveltuva opistoasteen tutkinto</t>
  </si>
  <si>
    <t>Lehtori/muu soveltuvat tutkinto tai koulutus</t>
  </si>
  <si>
    <t>Tuntiopettaja/muu soveltuva tutkinto tai koulutus</t>
  </si>
  <si>
    <t>Ammatillisten aineiden lehtori/soveltuva ylempi korkeakoulututkinto tai soveltuva ylempi ammattikorkeakoulututkinto</t>
  </si>
  <si>
    <t>Ammatillisten aineiden lehtori/soveltuva korkeakoulututkinto, insinöörin tai rakennusarkkitehdin tutkinto</t>
  </si>
  <si>
    <t>Ammatillisen oppilaitoksen yhteisten aineiden lehtori/soveltuva ylempi korkeakoulututkinto</t>
  </si>
  <si>
    <t>Ammatillisen oppilaitoksen yhteisten aineiden lehtori/muu soveltuva tutkinto</t>
  </si>
  <si>
    <t>Ammatillinen oppilaitos/tuntiopettaja/ammatilliset aineet/soveltuva ylempi korkeakoulututkinto tai soveltuva ylempi ammattikorkeakoulututkinto</t>
  </si>
  <si>
    <t>Tuntiopettaja/ammatilliset aineet/soveltuva korkeakoulututkinto, insinöörin tai rakennusarkkitehdin tutkinto</t>
  </si>
  <si>
    <t>Tuntiopettaja/ammatilliset aineet/soveltuva opistoasteen tutkinto</t>
  </si>
  <si>
    <t>Tuntiopettaja/ammatilliset aineet/muu soveltuva tutkinto tai koulutus</t>
  </si>
  <si>
    <t>Tuntiopettaja/yhteiset aineet/ylempi korkeakoulututkinto</t>
  </si>
  <si>
    <t>Tuntiopettaja/yhteiset aineet/muu soveltuva tutkinto</t>
  </si>
  <si>
    <t>Lehtori/soveltuva korkeakoulututkinto</t>
  </si>
  <si>
    <t>Lehtori/muu soveltuva tutkinto</t>
  </si>
  <si>
    <t>Tuntiopettaja/soveltuva korkeakoulututkinto</t>
  </si>
  <si>
    <t>Tuntiopettaja/muu soveltuva tutkinto</t>
  </si>
  <si>
    <t>Lehtori/ammatilliset aineet/soveltuva ylempi korkeakoulututkinto tai soveltuva ylempi ammattikorkeakoulututkinto</t>
  </si>
  <si>
    <t>Lehtori/ammatilliset aineet/soveltuva korkeakoulututkinto</t>
  </si>
  <si>
    <t>Lehtori/ammatilliset aineet/soveltuva opistoasteen tutkinto</t>
  </si>
  <si>
    <t>Lehtori/ammatilliset aineet/muu soveltuva tutkinto tai vähintään kolmen vuoden soveltuvat opinnot taidekoulussa (tanssi- ja sirkusala)</t>
  </si>
  <si>
    <t>Lehtori/yhteiset aineet/ylempi korkeakoulututkinto</t>
  </si>
  <si>
    <t>Lehtori/yhteiset aineet/korkeakoulututkinto</t>
  </si>
  <si>
    <t>Tuntiopettaja/ammatilliset aineet/soveltuva ylempi korkeakoulututkinto tai soveltuva ylempi ammattikorkeakoulututkinto</t>
  </si>
  <si>
    <t>Tuntiopettaja/ammatilliset aineet/soveltuva korkeakoulututkinto</t>
  </si>
  <si>
    <t>Tuntiopettaja/ammatilliset aineet/muu soveltuva tutkinto tai vähintään kolmen vuoden soveltuvat opinnot taidekoulussa (tanssi- ja sirkusala)</t>
  </si>
  <si>
    <t>Tuntiopettaja/yhteiset aineet/korkeakoulututkinto</t>
  </si>
  <si>
    <t>Lehtori/muu</t>
  </si>
  <si>
    <t>Tuntiopettaja/soveltuva ylempi korkeakoulututkinto tai soveltuva ylempi ammattikoreakoulututkinto</t>
  </si>
  <si>
    <t>Tuntiopettaja/muu</t>
  </si>
  <si>
    <t>Lehtori/ammatilliset aineet/soveltuva korkeakoulututkinto tai insinöörin tutkinto</t>
  </si>
  <si>
    <t>Lehtori/ammatilliset aineet/muu soveltuva tutkinto tai koulutus</t>
  </si>
  <si>
    <t>Tuntiopettaja/ammatilliset aineet/soveltuva korkeakoulututkinto tai insinöörin tutkinto</t>
  </si>
  <si>
    <t>Laboratorioinsinööri</t>
  </si>
  <si>
    <t>Lehtori/merenkulku- ja teknisissä aineissa/soveltuva ylempi korkeakoulututkinto tai soveltuva ylempi ammattikorkeakoulututkinto</t>
  </si>
  <si>
    <t>Lehtori/merenkulku- ja teknisissä aineissa/muu tutkinto</t>
  </si>
  <si>
    <t>Lehtori/ammatinopetus</t>
  </si>
  <si>
    <t>Lehtori/työnopetus</t>
  </si>
  <si>
    <t>Lehtori/yhteiset aineet/alempi korkeakoulututkinto</t>
  </si>
  <si>
    <t>Lehtori/yhteiset aineet/muu tutkinto</t>
  </si>
  <si>
    <t>Tuntiopettaja/merenkulku- ja teknillisissä aineissa/soveltuva ylempi korkeakoulututkinto tai soveltuva ylempi ammattikorkeakoulututkinto</t>
  </si>
  <si>
    <t>Tuntiopettaja/merenkulku ja teknilliset aineet/muu tutkinto</t>
  </si>
  <si>
    <t>Tuntiopettaja/ammatinopetus</t>
  </si>
  <si>
    <t>Tuntiopettaja/työnopetus</t>
  </si>
  <si>
    <t>Tuntiopettaja/yhteiset aineet/alempi korkeakoulututkinto</t>
  </si>
  <si>
    <t>Tuntiopettaja/yhteiset aineet/muu tutkinto</t>
  </si>
  <si>
    <t>OSIO E Ammatillinen aikuiskoulutuskeskus</t>
  </si>
  <si>
    <t>Palkka</t>
  </si>
  <si>
    <t>Kokoaikainen opettaja/ylempi korkeakoulututkinto</t>
  </si>
  <si>
    <t>alaraja</t>
  </si>
  <si>
    <t>yläraja</t>
  </si>
  <si>
    <t>Kokoaikainen opettaja/korkeakoulututkinto tai insinöörin tutkinto</t>
  </si>
  <si>
    <t>Kokoaikainen opettaja/opistoasteen tutkinto</t>
  </si>
  <si>
    <t>Kokoaikainen opettaja/muu tutkinto</t>
  </si>
  <si>
    <t>Apulaisrehtori</t>
  </si>
  <si>
    <t>Opettaja/soveltuva ylempi korkeakoulututkinto tai soveltuva ylempi ammattikorkeakoulututkinto</t>
  </si>
  <si>
    <t>Opettaja/soveltuva ammattikorkeakoulututkinto, konservatorion jatkotutkinto tai aiempi lehtorin kelpoisuus</t>
  </si>
  <si>
    <t>Opettaja/muu tutkinto tai aiempi opettajan tai säestäjän kelpoisuus</t>
  </si>
  <si>
    <t>Ammatillisen koulutuksen opettaja</t>
  </si>
  <si>
    <t>Tuntiopettaja/soveltuva ammattikorkeakoulututkinto, konservatorion jatkotutkinto tai aiempi lehtorin kelpoisuus</t>
  </si>
  <si>
    <t>Tuntiopettaja/muu soveltuva tutkinto tai aiempi opettajan tai säestäjän tutkinto</t>
  </si>
  <si>
    <t>Rehtori/taideteollisessa korkeakoulussa tai muussa korkeakoulussa suoritettu soveltuva ylempi korkeakoulututkinto</t>
  </si>
  <si>
    <t>Rehtori/taideteollisessa korkeakoulussa tai taideteollisessa oppilaitoksessa suoritettu kuvaamataidon opettajan tutkinto</t>
  </si>
  <si>
    <t>Taidekoulun opettaja vaihtoehto 1</t>
  </si>
  <si>
    <t>Taidekoulun opettaja vaihtoehto 2</t>
  </si>
  <si>
    <t>Opettaja/muu soveltuva tutkinto tai erivapaus kansalaisopistonopettajan virkaan</t>
  </si>
  <si>
    <t>Suunnittelijaopettaja/soveltuva ylempi korkeakoulututkinto tai soveltuva ylempi ammattikorkeakoulututkinto</t>
  </si>
  <si>
    <t>Suunnittelijaopettaja/muu tutkinto tai erivapaus kansalaisopistonopettajan virkaan</t>
  </si>
  <si>
    <t>Opettaja/muu soveltuva tutkinto tai erivapaus kansanopistonopettajan virkaan</t>
  </si>
  <si>
    <t>Opettaja/soveltuva ylempi korkeakoulututkinto (vaihtoehto 2)</t>
  </si>
  <si>
    <t>Opettaja/soveltuva alempi korkeakoulututkinto (vaihtoehto 2)</t>
  </si>
  <si>
    <t>Opettaja/muu tutkinto (vaihtoehto 2)</t>
  </si>
  <si>
    <t>liite</t>
  </si>
  <si>
    <t xml:space="preserve">0 vuotta </t>
  </si>
  <si>
    <t xml:space="preserve">5 vuotta </t>
  </si>
  <si>
    <t>OVTES palkanlaskentaohjelma 1.12.2018 lukien</t>
  </si>
  <si>
    <t>KT/RK</t>
  </si>
  <si>
    <t>% rehtorista</t>
  </si>
  <si>
    <t>epäpät %</t>
  </si>
  <si>
    <t xml:space="preserve">Peruspalkat 1.12.2018 lukien, e/kk </t>
  </si>
  <si>
    <t>=JOS('muut muuttujat'!$G$3=1;C6;KÄYTTÖTAULU!$B$13)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</si>
</sst>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General_)"/>
    <numFmt numFmtId="173" formatCode="0.00000"/>
    <numFmt numFmtId="174" formatCode="0.000"/>
    <numFmt numFmtId="175" formatCode="0.0"/>
    <numFmt numFmtId="176" formatCode="0.0000"/>
    <numFmt numFmtId="177" formatCode="0.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\ %"/>
    <numFmt numFmtId="185" formatCode="0.000\ %"/>
    <numFmt numFmtId="186" formatCode="0.0000\ %"/>
    <numFmt numFmtId="187" formatCode="0.00000\ %"/>
    <numFmt numFmtId="188" formatCode="0.000000\ %"/>
    <numFmt numFmtId="189" formatCode="#,##0.000\ _m_k;[Red]\-#,##0.000\ _m_k"/>
    <numFmt numFmtId="190" formatCode="#,##0.0000\ _m_k;[Red]\-#,##0.0000\ _m_k"/>
    <numFmt numFmtId="191" formatCode="#,##0.00000\ _m_k;[Red]\-#,##0.00000\ _m_k"/>
    <numFmt numFmtId="192" formatCode="#,##0.000000\ _m_k;[Red]\-#,##0.000000\ _m_k"/>
    <numFmt numFmtId="193" formatCode="#,##0.0000000\ _m_k;[Red]\-#,##0.0000000\ _m_k"/>
    <numFmt numFmtId="194" formatCode="&quot;Kyllä&quot;;&quot;Kyllä&quot;;&quot;Ei&quot;"/>
    <numFmt numFmtId="195" formatCode="&quot;Tosi&quot;;&quot;Tosi&quot;;&quot;Epätosi&quot;"/>
    <numFmt numFmtId="196" formatCode="&quot;Käytössä&quot;;&quot;Käytössä&quot;;&quot;Ei käytössä&quot;"/>
    <numFmt numFmtId="197" formatCode="#&quot; &quot;##&quot; &quot;##&quot; &quot;##&quot; &quot;#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2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6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4"/>
      <name val="Arial Narrow"/>
      <family val="2"/>
    </font>
    <font>
      <b/>
      <sz val="10"/>
      <color indexed="14"/>
      <name val="MS Sans Serif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9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MS Sans Serif"/>
      <family val="2"/>
    </font>
    <font>
      <b/>
      <u val="single"/>
      <sz val="14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MS Sans Serif"/>
      <family val="2"/>
    </font>
    <font>
      <sz val="9"/>
      <name val="MS Sans Serif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1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 Narrow"/>
      <family val="2"/>
    </font>
    <font>
      <b/>
      <sz val="8"/>
      <color indexed="52"/>
      <name val="Arial Narrow"/>
      <family val="2"/>
    </font>
    <font>
      <sz val="10"/>
      <color indexed="52"/>
      <name val="MS Sans Serif"/>
      <family val="2"/>
    </font>
    <font>
      <sz val="11"/>
      <name val="Calibri"/>
      <family val="2"/>
    </font>
    <font>
      <sz val="11"/>
      <color indexed="63"/>
      <name val="Courier New"/>
      <family val="3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0"/>
      <color theme="5" tint="-0.24997000396251678"/>
      <name val="MS Sans Serif"/>
      <family val="2"/>
    </font>
    <font>
      <sz val="11"/>
      <color theme="1"/>
      <name val="Courier New"/>
      <family val="3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7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2" applyNumberFormat="0" applyAlignment="0" applyProtection="0"/>
    <xf numFmtId="0" fontId="73" fillId="0" borderId="3" applyNumberFormat="0" applyFill="0" applyAlignment="0" applyProtection="0"/>
    <xf numFmtId="0" fontId="74" fillId="30" borderId="0" applyNumberFormat="0" applyBorder="0" applyAlignment="0" applyProtection="0"/>
    <xf numFmtId="0" fontId="68" fillId="0" borderId="0">
      <alignment/>
      <protection/>
    </xf>
    <xf numFmtId="0" fontId="75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31" borderId="2" applyNumberFormat="0" applyAlignment="0" applyProtection="0"/>
    <xf numFmtId="0" fontId="83" fillId="32" borderId="8" applyNumberFormat="0" applyAlignment="0" applyProtection="0"/>
    <xf numFmtId="0" fontId="84" fillId="29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5" fontId="7" fillId="0" borderId="0" xfId="56" applyNumberFormat="1" applyFont="1" applyAlignment="1">
      <alignment/>
    </xf>
    <xf numFmtId="180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8" fillId="0" borderId="0" xfId="0" applyNumberFormat="1" applyFont="1" applyFill="1" applyAlignment="1">
      <alignment/>
    </xf>
    <xf numFmtId="185" fontId="8" fillId="0" borderId="0" xfId="56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180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7" fillId="34" borderId="0" xfId="0" applyNumberFormat="1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2" fillId="33" borderId="18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/>
      <protection/>
    </xf>
    <xf numFmtId="0" fontId="7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9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 quotePrefix="1">
      <alignment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2" fontId="19" fillId="33" borderId="11" xfId="0" applyNumberFormat="1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 quotePrefix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22" fillId="33" borderId="11" xfId="0" applyFont="1" applyFill="1" applyBorder="1" applyAlignment="1" applyProtection="1">
      <alignment vertical="top"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36" borderId="24" xfId="0" applyFont="1" applyFill="1" applyBorder="1" applyAlignment="1" applyProtection="1">
      <alignment/>
      <protection/>
    </xf>
    <xf numFmtId="2" fontId="12" fillId="35" borderId="11" xfId="0" applyNumberFormat="1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left" vertical="top"/>
      <protection/>
    </xf>
    <xf numFmtId="0" fontId="8" fillId="36" borderId="25" xfId="0" applyFont="1" applyFill="1" applyBorder="1" applyAlignment="1" applyProtection="1">
      <alignment/>
      <protection/>
    </xf>
    <xf numFmtId="0" fontId="7" fillId="36" borderId="26" xfId="0" applyFont="1" applyFill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 quotePrefix="1">
      <alignment/>
      <protection/>
    </xf>
    <xf numFmtId="4" fontId="8" fillId="35" borderId="22" xfId="0" applyNumberFormat="1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Border="1" applyAlignment="1" quotePrefix="1">
      <alignment/>
    </xf>
    <xf numFmtId="10" fontId="7" fillId="0" borderId="0" xfId="56" applyNumberFormat="1" applyFont="1" applyAlignment="1">
      <alignment/>
    </xf>
    <xf numFmtId="0" fontId="8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/>
      <protection/>
    </xf>
    <xf numFmtId="0" fontId="28" fillId="35" borderId="19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left"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 quotePrefix="1">
      <alignment/>
      <protection/>
    </xf>
    <xf numFmtId="4" fontId="8" fillId="34" borderId="16" xfId="0" applyNumberFormat="1" applyFont="1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35" borderId="22" xfId="0" applyFont="1" applyFill="1" applyBorder="1" applyAlignment="1" applyProtection="1" quotePrefix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3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19" fillId="33" borderId="11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vertical="top"/>
      <protection/>
    </xf>
    <xf numFmtId="2" fontId="19" fillId="33" borderId="0" xfId="0" applyNumberFormat="1" applyFont="1" applyFill="1" applyBorder="1" applyAlignment="1" applyProtection="1">
      <alignment vertical="top"/>
      <protection/>
    </xf>
    <xf numFmtId="0" fontId="8" fillId="35" borderId="22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/>
      <protection/>
    </xf>
    <xf numFmtId="2" fontId="13" fillId="33" borderId="16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/>
      <protection/>
    </xf>
    <xf numFmtId="0" fontId="7" fillId="37" borderId="17" xfId="0" applyFont="1" applyFill="1" applyBorder="1" applyAlignment="1" applyProtection="1">
      <alignment/>
      <protection/>
    </xf>
    <xf numFmtId="0" fontId="19" fillId="33" borderId="34" xfId="0" applyFont="1" applyFill="1" applyBorder="1" applyAlignment="1" applyProtection="1">
      <alignment horizontal="left" vertical="top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35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9" fillId="33" borderId="17" xfId="0" applyFont="1" applyFill="1" applyBorder="1" applyAlignment="1" applyProtection="1">
      <alignment vertical="top"/>
      <protection/>
    </xf>
    <xf numFmtId="2" fontId="13" fillId="33" borderId="18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top" wrapText="1"/>
      <protection/>
    </xf>
    <xf numFmtId="4" fontId="8" fillId="35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 quotePrefix="1">
      <alignment/>
      <protection/>
    </xf>
    <xf numFmtId="0" fontId="8" fillId="36" borderId="32" xfId="0" applyFont="1" applyFill="1" applyBorder="1" applyAlignment="1" applyProtection="1">
      <alignment/>
      <protection/>
    </xf>
    <xf numFmtId="0" fontId="32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56" applyNumberFormat="1" applyFont="1" applyBorder="1" applyAlignment="1">
      <alignment/>
    </xf>
    <xf numFmtId="2" fontId="33" fillId="0" borderId="0" xfId="0" applyNumberFormat="1" applyFont="1" applyAlignment="1">
      <alignment/>
    </xf>
    <xf numFmtId="2" fontId="33" fillId="0" borderId="0" xfId="0" applyNumberFormat="1" applyFont="1" applyBorder="1" applyAlignment="1">
      <alignment/>
    </xf>
    <xf numFmtId="4" fontId="8" fillId="36" borderId="16" xfId="0" applyNumberFormat="1" applyFont="1" applyFill="1" applyBorder="1" applyAlignment="1" applyProtection="1">
      <alignment horizontal="right"/>
      <protection/>
    </xf>
    <xf numFmtId="4" fontId="8" fillId="36" borderId="13" xfId="0" applyNumberFormat="1" applyFont="1" applyFill="1" applyBorder="1" applyAlignment="1" applyProtection="1">
      <alignment horizontal="right"/>
      <protection/>
    </xf>
    <xf numFmtId="0" fontId="7" fillId="36" borderId="36" xfId="0" applyFont="1" applyFill="1" applyBorder="1" applyAlignment="1" applyProtection="1">
      <alignment/>
      <protection/>
    </xf>
    <xf numFmtId="4" fontId="8" fillId="36" borderId="36" xfId="0" applyNumberFormat="1" applyFont="1" applyFill="1" applyBorder="1" applyAlignment="1" applyProtection="1">
      <alignment horizontal="right"/>
      <protection/>
    </xf>
    <xf numFmtId="0" fontId="8" fillId="36" borderId="37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 vertical="top" wrapText="1"/>
      <protection/>
    </xf>
    <xf numFmtId="0" fontId="7" fillId="33" borderId="19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4" fontId="8" fillId="34" borderId="16" xfId="0" applyNumberFormat="1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7" fillId="36" borderId="38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36" borderId="20" xfId="0" applyNumberFormat="1" applyFont="1" applyFill="1" applyBorder="1" applyAlignment="1" applyProtection="1">
      <alignment horizontal="center"/>
      <protection/>
    </xf>
    <xf numFmtId="0" fontId="8" fillId="36" borderId="39" xfId="0" applyFont="1" applyFill="1" applyBorder="1" applyAlignment="1" applyProtection="1">
      <alignment horizontal="left"/>
      <protection/>
    </xf>
    <xf numFmtId="0" fontId="8" fillId="36" borderId="40" xfId="0" applyFont="1" applyFill="1" applyBorder="1" applyAlignment="1" applyProtection="1">
      <alignment horizontal="left"/>
      <protection/>
    </xf>
    <xf numFmtId="2" fontId="8" fillId="36" borderId="41" xfId="0" applyNumberFormat="1" applyFont="1" applyFill="1" applyBorder="1" applyAlignment="1" applyProtection="1">
      <alignment/>
      <protection/>
    </xf>
    <xf numFmtId="0" fontId="16" fillId="33" borderId="19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 vertical="top" wrapText="1"/>
      <protection/>
    </xf>
    <xf numFmtId="0" fontId="21" fillId="33" borderId="12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wrapText="1"/>
      <protection/>
    </xf>
    <xf numFmtId="0" fontId="0" fillId="0" borderId="36" xfId="0" applyBorder="1" applyAlignment="1">
      <alignment/>
    </xf>
    <xf numFmtId="2" fontId="13" fillId="33" borderId="0" xfId="0" applyNumberFormat="1" applyFont="1" applyFill="1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 vertical="top"/>
      <protection/>
    </xf>
    <xf numFmtId="175" fontId="8" fillId="33" borderId="0" xfId="0" applyNumberFormat="1" applyFont="1" applyFill="1" applyBorder="1" applyAlignment="1" applyProtection="1">
      <alignment horizontal="center"/>
      <protection/>
    </xf>
    <xf numFmtId="0" fontId="8" fillId="35" borderId="19" xfId="0" applyFont="1" applyFill="1" applyBorder="1" applyAlignment="1" applyProtection="1">
      <alignment horizontal="left"/>
      <protection/>
    </xf>
    <xf numFmtId="2" fontId="7" fillId="33" borderId="17" xfId="0" applyNumberFormat="1" applyFont="1" applyFill="1" applyBorder="1" applyAlignment="1" applyProtection="1">
      <alignment/>
      <protection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175" fontId="8" fillId="34" borderId="32" xfId="0" applyNumberFormat="1" applyFont="1" applyFill="1" applyBorder="1" applyAlignment="1" applyProtection="1">
      <alignment horizontal="center"/>
      <protection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30" fillId="33" borderId="11" xfId="0" applyNumberFormat="1" applyFont="1" applyFill="1" applyBorder="1" applyAlignment="1" applyProtection="1">
      <alignment vertical="top"/>
      <protection/>
    </xf>
    <xf numFmtId="0" fontId="31" fillId="33" borderId="12" xfId="0" applyFont="1" applyFill="1" applyBorder="1" applyAlignment="1" applyProtection="1">
      <alignment vertical="top"/>
      <protection/>
    </xf>
    <xf numFmtId="2" fontId="8" fillId="33" borderId="15" xfId="0" applyNumberFormat="1" applyFont="1" applyFill="1" applyBorder="1" applyAlignment="1" applyProtection="1">
      <alignment/>
      <protection/>
    </xf>
    <xf numFmtId="0" fontId="19" fillId="33" borderId="12" xfId="0" applyFont="1" applyFill="1" applyBorder="1" applyAlignment="1" applyProtection="1">
      <alignment vertical="top"/>
      <protection/>
    </xf>
    <xf numFmtId="0" fontId="0" fillId="33" borderId="18" xfId="0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 vertical="top"/>
      <protection/>
    </xf>
    <xf numFmtId="0" fontId="38" fillId="34" borderId="0" xfId="0" applyFont="1" applyFill="1" applyAlignment="1" applyProtection="1">
      <alignment/>
      <protection/>
    </xf>
    <xf numFmtId="2" fontId="8" fillId="35" borderId="13" xfId="0" applyNumberFormat="1" applyFont="1" applyFill="1" applyBorder="1" applyAlignment="1" applyProtection="1" quotePrefix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2" fontId="35" fillId="6" borderId="0" xfId="0" applyNumberFormat="1" applyFont="1" applyFill="1" applyAlignment="1">
      <alignment/>
    </xf>
    <xf numFmtId="197" fontId="7" fillId="0" borderId="0" xfId="0" applyNumberFormat="1" applyFont="1" applyAlignment="1">
      <alignment/>
    </xf>
    <xf numFmtId="197" fontId="7" fillId="0" borderId="0" xfId="0" applyNumberFormat="1" applyFont="1" applyAlignment="1">
      <alignment horizontal="left"/>
    </xf>
    <xf numFmtId="0" fontId="86" fillId="38" borderId="14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/>
      <protection/>
    </xf>
    <xf numFmtId="0" fontId="34" fillId="38" borderId="14" xfId="0" applyFont="1" applyFill="1" applyBorder="1" applyAlignment="1" applyProtection="1">
      <alignment/>
      <protection/>
    </xf>
    <xf numFmtId="0" fontId="87" fillId="38" borderId="0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36" fillId="38" borderId="0" xfId="0" applyFont="1" applyFill="1" applyBorder="1" applyAlignment="1" applyProtection="1">
      <alignment vertical="top" wrapText="1"/>
      <protection/>
    </xf>
    <xf numFmtId="0" fontId="87" fillId="38" borderId="0" xfId="0" applyFont="1" applyFill="1" applyBorder="1" applyAlignment="1" applyProtection="1">
      <alignment/>
      <protection/>
    </xf>
    <xf numFmtId="0" fontId="87" fillId="38" borderId="0" xfId="0" applyFont="1" applyFill="1" applyBorder="1" applyAlignment="1" applyProtection="1">
      <alignment/>
      <protection/>
    </xf>
    <xf numFmtId="0" fontId="88" fillId="38" borderId="15" xfId="0" applyFont="1" applyFill="1" applyBorder="1" applyAlignment="1" applyProtection="1">
      <alignment vertical="top" wrapText="1"/>
      <protection/>
    </xf>
    <xf numFmtId="0" fontId="7" fillId="37" borderId="19" xfId="0" applyFont="1" applyFill="1" applyBorder="1" applyAlignment="1" applyProtection="1">
      <alignment/>
      <protection locked="0"/>
    </xf>
    <xf numFmtId="0" fontId="7" fillId="37" borderId="11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0" fillId="0" borderId="42" xfId="0" applyBorder="1" applyAlignment="1">
      <alignment/>
    </xf>
    <xf numFmtId="0" fontId="45" fillId="0" borderId="0" xfId="0" applyFont="1" applyAlignment="1">
      <alignment horizontal="left" vertical="top"/>
    </xf>
    <xf numFmtId="0" fontId="44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65" fillId="0" borderId="0" xfId="0" applyFont="1" applyAlignment="1">
      <alignment/>
    </xf>
    <xf numFmtId="0" fontId="89" fillId="0" borderId="0" xfId="0" applyFont="1" applyAlignment="1">
      <alignment horizontal="left" vertical="center" indent="15"/>
    </xf>
    <xf numFmtId="2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4" fillId="0" borderId="0" xfId="47" applyFont="1" applyAlignment="1">
      <alignment wrapText="1"/>
      <protection/>
    </xf>
    <xf numFmtId="0" fontId="44" fillId="0" borderId="0" xfId="47" applyFont="1" applyAlignment="1">
      <alignment/>
      <protection/>
    </xf>
    <xf numFmtId="0" fontId="7" fillId="0" borderId="0" xfId="0" applyFont="1" applyAlignment="1">
      <alignment horizontal="center"/>
    </xf>
    <xf numFmtId="0" fontId="7" fillId="0" borderId="43" xfId="47" applyFont="1" applyBorder="1" applyAlignment="1">
      <alignment wrapText="1"/>
      <protection/>
    </xf>
    <xf numFmtId="4" fontId="44" fillId="0" borderId="0" xfId="47" applyNumberFormat="1" applyFont="1" applyBorder="1" applyAlignment="1">
      <alignment horizontal="center"/>
      <protection/>
    </xf>
    <xf numFmtId="0" fontId="44" fillId="0" borderId="0" xfId="47" applyFont="1" applyAlignment="1">
      <alignment horizontal="right"/>
      <protection/>
    </xf>
    <xf numFmtId="2" fontId="65" fillId="0" borderId="0" xfId="0" applyNumberFormat="1" applyFont="1" applyAlignment="1">
      <alignment/>
    </xf>
    <xf numFmtId="180" fontId="44" fillId="0" borderId="0" xfId="0" applyNumberFormat="1" applyFont="1" applyAlignment="1">
      <alignment wrapText="1"/>
    </xf>
    <xf numFmtId="185" fontId="7" fillId="0" borderId="0" xfId="0" applyNumberFormat="1" applyFont="1" applyAlignment="1">
      <alignment horizontal="center"/>
    </xf>
    <xf numFmtId="185" fontId="7" fillId="0" borderId="0" xfId="0" applyNumberFormat="1" applyFont="1" applyAlignment="1">
      <alignment horizontal="left"/>
    </xf>
    <xf numFmtId="0" fontId="7" fillId="0" borderId="43" xfId="0" applyFont="1" applyBorder="1" applyAlignment="1">
      <alignment horizontal="center"/>
    </xf>
    <xf numFmtId="197" fontId="44" fillId="0" borderId="44" xfId="0" applyNumberFormat="1" applyFont="1" applyBorder="1" applyAlignment="1">
      <alignment horizontal="left" vertical="top"/>
    </xf>
    <xf numFmtId="0" fontId="7" fillId="0" borderId="44" xfId="0" applyFont="1" applyBorder="1" applyAlignment="1">
      <alignment vertical="top" wrapText="1"/>
    </xf>
    <xf numFmtId="4" fontId="44" fillId="0" borderId="0" xfId="0" applyNumberFormat="1" applyFont="1" applyBorder="1" applyAlignment="1">
      <alignment/>
    </xf>
    <xf numFmtId="4" fontId="44" fillId="0" borderId="45" xfId="47" applyNumberFormat="1" applyFont="1" applyBorder="1" applyAlignment="1">
      <alignment horizontal="center"/>
      <protection/>
    </xf>
    <xf numFmtId="4" fontId="44" fillId="0" borderId="44" xfId="47" applyNumberFormat="1" applyFont="1" applyBorder="1" applyAlignment="1">
      <alignment horizontal="center"/>
      <protection/>
    </xf>
    <xf numFmtId="0" fontId="7" fillId="0" borderId="44" xfId="0" applyFont="1" applyBorder="1" applyAlignment="1">
      <alignment wrapText="1"/>
    </xf>
    <xf numFmtId="0" fontId="44" fillId="0" borderId="44" xfId="0" applyFont="1" applyBorder="1" applyAlignment="1">
      <alignment/>
    </xf>
    <xf numFmtId="0" fontId="44" fillId="0" borderId="44" xfId="0" applyFont="1" applyBorder="1" applyAlignment="1">
      <alignment/>
    </xf>
    <xf numFmtId="0" fontId="44" fillId="0" borderId="0" xfId="0" applyFont="1" applyBorder="1" applyAlignment="1">
      <alignment/>
    </xf>
    <xf numFmtId="4" fontId="44" fillId="0" borderId="43" xfId="47" applyNumberFormat="1" applyFont="1" applyBorder="1" applyAlignment="1">
      <alignment horizontal="center"/>
      <protection/>
    </xf>
    <xf numFmtId="0" fontId="7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44" fillId="0" borderId="43" xfId="0" applyFont="1" applyBorder="1" applyAlignment="1">
      <alignment/>
    </xf>
    <xf numFmtId="197" fontId="44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197" fontId="45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44" fillId="0" borderId="43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197" fontId="44" fillId="0" borderId="0" xfId="0" applyNumberFormat="1" applyFont="1" applyAlignment="1">
      <alignment horizontal="left" vertical="top"/>
    </xf>
    <xf numFmtId="4" fontId="44" fillId="0" borderId="0" xfId="0" applyNumberFormat="1" applyFont="1" applyAlignment="1">
      <alignment/>
    </xf>
    <xf numFmtId="197" fontId="45" fillId="0" borderId="0" xfId="0" applyNumberFormat="1" applyFont="1" applyAlignment="1">
      <alignment horizontal="left" vertical="top"/>
    </xf>
    <xf numFmtId="0" fontId="44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4" fontId="44" fillId="0" borderId="0" xfId="0" applyNumberFormat="1" applyFont="1" applyAlignment="1">
      <alignment horizontal="center"/>
    </xf>
    <xf numFmtId="0" fontId="65" fillId="0" borderId="43" xfId="0" applyFont="1" applyBorder="1" applyAlignment="1">
      <alignment/>
    </xf>
    <xf numFmtId="0" fontId="7" fillId="0" borderId="4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" fontId="44" fillId="0" borderId="43" xfId="0" applyNumberFormat="1" applyFont="1" applyBorder="1" applyAlignment="1">
      <alignment/>
    </xf>
    <xf numFmtId="4" fontId="44" fillId="0" borderId="0" xfId="47" applyNumberFormat="1" applyFont="1" applyBorder="1" applyAlignment="1">
      <alignment/>
      <protection/>
    </xf>
    <xf numFmtId="197" fontId="45" fillId="0" borderId="0" xfId="0" applyNumberFormat="1" applyFont="1" applyBorder="1" applyAlignment="1">
      <alignment horizontal="left" vertical="top"/>
    </xf>
    <xf numFmtId="197" fontId="44" fillId="0" borderId="43" xfId="0" applyNumberFormat="1" applyFont="1" applyBorder="1" applyAlignment="1">
      <alignment horizontal="left" vertical="top"/>
    </xf>
    <xf numFmtId="0" fontId="7" fillId="0" borderId="43" xfId="0" applyFont="1" applyBorder="1" applyAlignment="1">
      <alignment wrapText="1"/>
    </xf>
    <xf numFmtId="4" fontId="44" fillId="0" borderId="0" xfId="47" applyNumberFormat="1" applyFont="1" applyBorder="1" applyAlignment="1">
      <alignment horizontal="left"/>
      <protection/>
    </xf>
    <xf numFmtId="4" fontId="44" fillId="0" borderId="0" xfId="0" applyNumberFormat="1" applyFont="1" applyAlignment="1">
      <alignment/>
    </xf>
    <xf numFmtId="180" fontId="7" fillId="0" borderId="43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4" fontId="44" fillId="0" borderId="44" xfId="0" applyNumberFormat="1" applyFont="1" applyBorder="1" applyAlignment="1">
      <alignment/>
    </xf>
    <xf numFmtId="4" fontId="65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4" fontId="44" fillId="0" borderId="0" xfId="0" applyNumberFormat="1" applyFont="1" applyBorder="1" applyAlignment="1">
      <alignment horizontal="center"/>
    </xf>
    <xf numFmtId="2" fontId="65" fillId="0" borderId="0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2" fontId="7" fillId="0" borderId="0" xfId="0" applyNumberFormat="1" applyFont="1" applyAlignment="1" quotePrefix="1">
      <alignment/>
    </xf>
    <xf numFmtId="0" fontId="29" fillId="37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2" fontId="40" fillId="33" borderId="17" xfId="0" applyNumberFormat="1" applyFont="1" applyFill="1" applyBorder="1" applyAlignment="1" applyProtection="1">
      <alignment/>
      <protection/>
    </xf>
    <xf numFmtId="0" fontId="41" fillId="0" borderId="18" xfId="0" applyFont="1" applyBorder="1" applyAlignment="1" applyProtection="1">
      <alignment/>
      <protection/>
    </xf>
    <xf numFmtId="0" fontId="7" fillId="35" borderId="21" xfId="0" applyFont="1" applyFill="1" applyBorder="1" applyAlignment="1" applyProtection="1" quotePrefix="1">
      <alignment wrapText="1"/>
      <protection/>
    </xf>
    <xf numFmtId="0" fontId="0" fillId="0" borderId="20" xfId="0" applyBorder="1" applyAlignment="1" applyProtection="1">
      <alignment/>
      <protection/>
    </xf>
    <xf numFmtId="4" fontId="8" fillId="35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 wrapText="1"/>
      <protection/>
    </xf>
    <xf numFmtId="0" fontId="37" fillId="0" borderId="14" xfId="0" applyFont="1" applyBorder="1" applyAlignment="1" applyProtection="1">
      <alignment vertical="top" wrapText="1"/>
      <protection/>
    </xf>
    <xf numFmtId="0" fontId="37" fillId="0" borderId="15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2" fontId="16" fillId="33" borderId="19" xfId="0" applyNumberFormat="1" applyFont="1" applyFill="1" applyBorder="1" applyAlignment="1" applyProtection="1">
      <alignment horizontal="left" vertical="top" wrapText="1"/>
      <protection/>
    </xf>
    <xf numFmtId="2" fontId="16" fillId="33" borderId="15" xfId="0" applyNumberFormat="1" applyFont="1" applyFill="1" applyBorder="1" applyAlignment="1" applyProtection="1">
      <alignment horizontal="left" vertical="top" wrapText="1"/>
      <protection/>
    </xf>
    <xf numFmtId="2" fontId="16" fillId="33" borderId="11" xfId="0" applyNumberFormat="1" applyFont="1" applyFill="1" applyBorder="1" applyAlignment="1" applyProtection="1">
      <alignment horizontal="left" vertical="top" wrapText="1"/>
      <protection/>
    </xf>
    <xf numFmtId="2" fontId="16" fillId="33" borderId="12" xfId="0" applyNumberFormat="1" applyFont="1" applyFill="1" applyBorder="1" applyAlignment="1" applyProtection="1">
      <alignment horizontal="left" vertical="top" wrapText="1"/>
      <protection/>
    </xf>
    <xf numFmtId="0" fontId="23" fillId="33" borderId="11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9" fillId="37" borderId="21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wrapText="1"/>
      <protection/>
    </xf>
    <xf numFmtId="0" fontId="24" fillId="33" borderId="12" xfId="0" applyFont="1" applyFill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horizontal="center" vertical="top" wrapText="1"/>
      <protection/>
    </xf>
    <xf numFmtId="0" fontId="19" fillId="33" borderId="12" xfId="0" applyFont="1" applyFill="1" applyBorder="1" applyAlignment="1" applyProtection="1">
      <alignment horizontal="center" vertical="top" wrapText="1"/>
      <protection/>
    </xf>
    <xf numFmtId="0" fontId="29" fillId="37" borderId="11" xfId="0" applyFont="1" applyFill="1" applyBorder="1" applyAlignment="1" applyProtection="1">
      <alignment horizontal="left" vertical="top" wrapText="1"/>
      <protection/>
    </xf>
    <xf numFmtId="0" fontId="29" fillId="37" borderId="0" xfId="0" applyFont="1" applyFill="1" applyBorder="1" applyAlignment="1" applyProtection="1">
      <alignment horizontal="left" vertical="top" wrapText="1"/>
      <protection/>
    </xf>
    <xf numFmtId="0" fontId="29" fillId="37" borderId="12" xfId="0" applyFont="1" applyFill="1" applyBorder="1" applyAlignment="1" applyProtection="1">
      <alignment horizontal="left" vertical="top" wrapText="1"/>
      <protection/>
    </xf>
    <xf numFmtId="0" fontId="19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40" fillId="33" borderId="11" xfId="0" applyFont="1" applyFill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12" xfId="0" applyFont="1" applyBorder="1" applyAlignment="1" applyProtection="1">
      <alignment wrapText="1"/>
      <protection/>
    </xf>
    <xf numFmtId="0" fontId="41" fillId="0" borderId="11" xfId="0" applyFont="1" applyBorder="1" applyAlignment="1" applyProtection="1">
      <alignment wrapText="1"/>
      <protection/>
    </xf>
    <xf numFmtId="0" fontId="41" fillId="0" borderId="17" xfId="0" applyFont="1" applyBorder="1" applyAlignment="1" applyProtection="1">
      <alignment wrapText="1"/>
      <protection/>
    </xf>
    <xf numFmtId="0" fontId="41" fillId="0" borderId="16" xfId="0" applyFont="1" applyBorder="1" applyAlignment="1" applyProtection="1">
      <alignment wrapText="1"/>
      <protection/>
    </xf>
    <xf numFmtId="0" fontId="41" fillId="0" borderId="18" xfId="0" applyFont="1" applyBorder="1" applyAlignment="1" applyProtection="1">
      <alignment wrapText="1"/>
      <protection/>
    </xf>
    <xf numFmtId="0" fontId="40" fillId="33" borderId="11" xfId="0" applyFont="1" applyFill="1" applyBorder="1" applyAlignment="1" applyProtection="1">
      <alignment wrapText="1"/>
      <protection/>
    </xf>
    <xf numFmtId="0" fontId="40" fillId="33" borderId="0" xfId="0" applyFont="1" applyFill="1" applyBorder="1" applyAlignment="1" applyProtection="1">
      <alignment wrapText="1"/>
      <protection/>
    </xf>
    <xf numFmtId="0" fontId="40" fillId="33" borderId="17" xfId="0" applyFont="1" applyFill="1" applyBorder="1" applyAlignment="1" applyProtection="1">
      <alignment wrapText="1"/>
      <protection/>
    </xf>
    <xf numFmtId="0" fontId="40" fillId="33" borderId="16" xfId="0" applyFont="1" applyFill="1" applyBorder="1" applyAlignment="1" applyProtection="1">
      <alignment wrapText="1"/>
      <protection/>
    </xf>
    <xf numFmtId="2" fontId="19" fillId="33" borderId="11" xfId="0" applyNumberFormat="1" applyFont="1" applyFill="1" applyBorder="1" applyAlignment="1" applyProtection="1">
      <alignment wrapText="1"/>
      <protection/>
    </xf>
    <xf numFmtId="2" fontId="19" fillId="33" borderId="0" xfId="0" applyNumberFormat="1" applyFont="1" applyFill="1" applyBorder="1" applyAlignment="1" applyProtection="1">
      <alignment wrapText="1"/>
      <protection/>
    </xf>
    <xf numFmtId="0" fontId="20" fillId="33" borderId="12" xfId="0" applyFont="1" applyFill="1" applyBorder="1" applyAlignment="1" applyProtection="1">
      <alignment wrapText="1"/>
      <protection/>
    </xf>
    <xf numFmtId="0" fontId="20" fillId="33" borderId="11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8" fillId="0" borderId="0" xfId="0" applyFont="1" applyAlignment="1">
      <alignment horizontal="left" vertical="center" wrapText="1"/>
    </xf>
    <xf numFmtId="2" fontId="45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O145"/>
  <sheetViews>
    <sheetView tabSelected="1" zoomScalePageLayoutView="0" workbookViewId="0" topLeftCell="A1">
      <selection activeCell="B53" sqref="B53"/>
    </sheetView>
  </sheetViews>
  <sheetFormatPr defaultColWidth="9.140625" defaultRowHeight="12.75"/>
  <cols>
    <col min="1" max="1" width="51.8515625" style="31" customWidth="1"/>
    <col min="2" max="2" width="10.421875" style="31" customWidth="1"/>
    <col min="3" max="3" width="5.28125" style="31" customWidth="1"/>
    <col min="4" max="4" width="11.8515625" style="31" customWidth="1"/>
    <col min="5" max="5" width="0.9921875" style="31" customWidth="1"/>
    <col min="6" max="6" width="7.28125" style="31" customWidth="1"/>
    <col min="7" max="7" width="8.57421875" style="31" customWidth="1"/>
    <col min="8" max="8" width="0.71875" style="31" customWidth="1"/>
    <col min="9" max="9" width="10.8515625" style="31" customWidth="1"/>
    <col min="10" max="10" width="7.140625" style="31" customWidth="1"/>
    <col min="11" max="11" width="16.140625" style="31" customWidth="1"/>
    <col min="12" max="12" width="8.28125" style="31" customWidth="1"/>
    <col min="13" max="13" width="6.8515625" style="31" customWidth="1"/>
    <col min="14" max="14" width="0.85546875" style="34" customWidth="1"/>
    <col min="15" max="42" width="9.140625" style="34" customWidth="1"/>
    <col min="43" max="16384" width="9.140625" style="31" customWidth="1"/>
  </cols>
  <sheetData>
    <row r="1" spans="1:13" ht="15.75" customHeight="1" thickBot="1">
      <c r="A1" s="143" t="s">
        <v>698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 t="s">
        <v>699</v>
      </c>
      <c r="M1" s="48"/>
    </row>
    <row r="2" spans="1:13" ht="2.25" customHeight="1" hidden="1" thickBot="1">
      <c r="A2" s="91"/>
      <c r="B2" s="49"/>
      <c r="C2" s="49"/>
      <c r="D2" s="49"/>
      <c r="E2" s="67"/>
      <c r="F2" s="67"/>
      <c r="G2" s="67"/>
      <c r="H2" s="67"/>
      <c r="I2" s="67"/>
      <c r="J2" s="67"/>
      <c r="K2" s="67"/>
      <c r="L2" s="67"/>
      <c r="M2" s="78"/>
    </row>
    <row r="3" spans="1:13" ht="12.75" customHeight="1">
      <c r="A3" s="92" t="s">
        <v>132</v>
      </c>
      <c r="B3" s="75" t="s">
        <v>326</v>
      </c>
      <c r="C3" s="174"/>
      <c r="D3" s="57"/>
      <c r="E3" s="56" t="s">
        <v>142</v>
      </c>
      <c r="F3" s="181"/>
      <c r="G3" s="225"/>
      <c r="H3" s="222" t="s">
        <v>144</v>
      </c>
      <c r="I3" s="54"/>
      <c r="J3" s="112"/>
      <c r="K3" s="346" t="s">
        <v>168</v>
      </c>
      <c r="L3" s="347"/>
      <c r="M3" s="348"/>
    </row>
    <row r="4" spans="1:13" ht="13.5" customHeight="1">
      <c r="A4" s="29"/>
      <c r="B4" s="74" t="str">
        <f>IF(virheet!I10&lt;1,"2. Valitse kalleusluokka:","Älä täytä")</f>
        <v>2. Valitse kalleusluokka:</v>
      </c>
      <c r="C4" s="178"/>
      <c r="D4" s="139"/>
      <c r="E4" s="108" t="s">
        <v>143</v>
      </c>
      <c r="F4" s="37"/>
      <c r="G4" s="38"/>
      <c r="H4" s="108" t="s">
        <v>145</v>
      </c>
      <c r="I4" s="37"/>
      <c r="J4" s="38"/>
      <c r="K4" s="349" t="str">
        <f>IF(virheet!I10&lt;1," 8. Valitse siihen oikeuttava aika:","Älä täytä")</f>
        <v> 8. Valitse siihen oikeuttava aika:</v>
      </c>
      <c r="L4" s="350"/>
      <c r="M4" s="351"/>
    </row>
    <row r="5" spans="1:13" ht="13.5" customHeight="1" thickBot="1">
      <c r="A5" s="29"/>
      <c r="B5" s="42"/>
      <c r="C5" s="33"/>
      <c r="D5" s="139"/>
      <c r="E5" s="109"/>
      <c r="F5" s="104" t="str">
        <f>IF(virheet!I10&lt;1,"4. Syötä palkka:","Älä täytä")</f>
        <v>4. Syötä palkka:</v>
      </c>
      <c r="G5" s="226"/>
      <c r="H5" s="42"/>
      <c r="I5" s="349" t="str">
        <f>IF(virheet!I10&lt;1,IF(VLOOKUP(virheet!$A$10,virheet!$A$12:$F$185,6,FALSE)=0,"Ei täytetä valitulle opettajalle. Siirry kohtaan 8.","5. Syötä huojentamaton opetusvelvollisuus:"),"Älä täytä")</f>
        <v>Ei täytetä valitulle opettajalle. Siirry kohtaan 8.</v>
      </c>
      <c r="J5" s="351"/>
      <c r="K5" s="33"/>
      <c r="L5" s="98"/>
      <c r="M5" s="38"/>
    </row>
    <row r="6" spans="1:13" ht="13.5" customHeight="1" thickBot="1">
      <c r="A6" s="29"/>
      <c r="B6" s="96"/>
      <c r="C6" s="107"/>
      <c r="D6" s="32"/>
      <c r="E6" s="42"/>
      <c r="F6" s="27"/>
      <c r="G6" s="183" t="s">
        <v>36</v>
      </c>
      <c r="H6" s="42"/>
      <c r="I6" s="350"/>
      <c r="J6" s="351"/>
      <c r="K6" s="98"/>
      <c r="L6" s="98"/>
      <c r="M6" s="38"/>
    </row>
    <row r="7" spans="1:13" ht="13.5" customHeight="1" thickBot="1">
      <c r="A7" s="29"/>
      <c r="B7" s="383" t="str">
        <f>IF(virheet!I10&lt;1,"Onko epäpätevyyden perusteella alennettu peruspalkka?","Älä täytä")</f>
        <v>Onko epäpätevyyden perusteella alennettu peruspalkka?</v>
      </c>
      <c r="C7" s="384"/>
      <c r="D7" s="385"/>
      <c r="E7" s="227"/>
      <c r="F7" s="103" t="str">
        <f>IF(COUNTA(F6)=0,"hyväksy 'Enterillä'","")</f>
        <v>hyväksy 'Enterillä'</v>
      </c>
      <c r="G7" s="38"/>
      <c r="H7" s="42"/>
      <c r="I7" s="350"/>
      <c r="J7" s="351"/>
      <c r="K7" s="40"/>
      <c r="L7" s="40"/>
      <c r="M7" s="38"/>
    </row>
    <row r="8" spans="1:13" ht="13.5" customHeight="1" thickBot="1">
      <c r="A8" s="29"/>
      <c r="B8" s="386"/>
      <c r="C8" s="387"/>
      <c r="D8" s="385"/>
      <c r="E8" s="372" t="str">
        <f>IF(virheet!I10&lt;1,IF(virheet!A2=1,virheet!B2," ")," ")</f>
        <v> </v>
      </c>
      <c r="F8" s="373"/>
      <c r="G8" s="374"/>
      <c r="H8" s="43">
        <v>2</v>
      </c>
      <c r="I8" s="28"/>
      <c r="J8" s="172" t="s">
        <v>161</v>
      </c>
      <c r="K8" s="110"/>
      <c r="L8" s="79"/>
      <c r="M8" s="38"/>
    </row>
    <row r="9" spans="1:15" ht="10.5" customHeight="1" thickBot="1">
      <c r="A9" s="29"/>
      <c r="B9" s="97"/>
      <c r="C9" s="138"/>
      <c r="D9" s="362" t="str">
        <f>IF(virheet!$G$10*'muut muuttujat'!$G$3=1,"Pakollinen valinta: Valitse 'On' !"," ")</f>
        <v> </v>
      </c>
      <c r="E9" s="375"/>
      <c r="F9" s="373"/>
      <c r="G9" s="374"/>
      <c r="H9" s="109"/>
      <c r="I9" s="103" t="str">
        <f>IF(virheet!F10=0," ",IF(COUNTA(I8)=0,"hyväksy 'Enterillä'",""))</f>
        <v> </v>
      </c>
      <c r="J9" s="38"/>
      <c r="K9" s="55"/>
      <c r="L9" s="59"/>
      <c r="M9" s="53"/>
      <c r="O9" s="44"/>
    </row>
    <row r="10" spans="1:13" ht="14.25" customHeight="1">
      <c r="A10" s="29"/>
      <c r="B10" s="42"/>
      <c r="C10" s="33"/>
      <c r="D10" s="363"/>
      <c r="E10" s="375"/>
      <c r="F10" s="373"/>
      <c r="G10" s="374"/>
      <c r="H10" s="109"/>
      <c r="I10" s="39"/>
      <c r="J10" s="39"/>
      <c r="K10" s="75" t="s">
        <v>235</v>
      </c>
      <c r="L10" s="41"/>
      <c r="M10" s="45"/>
    </row>
    <row r="11" spans="1:13" ht="12.75" customHeight="1" thickBot="1">
      <c r="A11" s="29"/>
      <c r="B11" s="356" t="str">
        <f>IF(virheet!I10&lt;1,IF(virheet!G10*'muut muuttujat'!G3=1,"",IF(virheet!A4=1,virheet!C4,IF(laskenta!A4=17,"---&gt; Syötä epäpätevyys -prosentilla alennettu peruspalkka:",IF(virheet!A4=1,"",IF('muut muuttujat'!G3=1,"---&gt; Jätä alla oleva kohta täyttämättä ja siirry kohtaan 4.","---&gt; Syötä alennettu peruspalkka:"))))),"Älä täytä")</f>
        <v>---&gt; Jätä alla oleva kohta täyttämättä ja siirry kohtaan 4.</v>
      </c>
      <c r="C11" s="357"/>
      <c r="D11" s="358"/>
      <c r="E11" s="376"/>
      <c r="F11" s="377"/>
      <c r="G11" s="378"/>
      <c r="H11" s="80"/>
      <c r="I11" s="76"/>
      <c r="J11" s="76"/>
      <c r="K11" s="369" t="s">
        <v>240</v>
      </c>
      <c r="L11" s="370"/>
      <c r="M11" s="38"/>
    </row>
    <row r="12" spans="1:13" ht="13.5" customHeight="1" thickBot="1">
      <c r="A12" s="29"/>
      <c r="B12" s="356"/>
      <c r="C12" s="357"/>
      <c r="D12" s="359"/>
      <c r="E12" s="75" t="s">
        <v>221</v>
      </c>
      <c r="F12" s="208"/>
      <c r="G12" s="106"/>
      <c r="H12" s="106"/>
      <c r="I12" s="106"/>
      <c r="J12" s="57"/>
      <c r="K12" s="371"/>
      <c r="L12" s="370"/>
      <c r="M12" s="38"/>
    </row>
    <row r="13" spans="1:13" ht="14.25" customHeight="1" thickBot="1">
      <c r="A13" s="29"/>
      <c r="B13" s="27"/>
      <c r="C13" s="214">
        <f>IF(virheet!I10&lt;1,IF('muut muuttujat'!G3=2,"e/kk","")," ")</f>
      </c>
      <c r="D13" s="214"/>
      <c r="E13" s="215"/>
      <c r="F13" s="104" t="str">
        <f>IF(virheet!I10&lt;1,IF(VLOOKUP(virheet!$A$10,virheet!$A$12:$F$185,6,FALSE)=0,"Ei täytetä valitulle opettajalle. Siirry kohtaan 8.","6. Syötä vuosiviikkoylituntien määrä:"),"Älä täytä")</f>
        <v>Ei täytetä valitulle opettajalle. Siirry kohtaan 8.</v>
      </c>
      <c r="G13" s="105"/>
      <c r="H13" s="39"/>
      <c r="I13" s="39"/>
      <c r="J13" s="38"/>
      <c r="K13" s="27"/>
      <c r="L13" s="171" t="s">
        <v>36</v>
      </c>
      <c r="M13" s="32"/>
    </row>
    <row r="14" spans="1:13" ht="14.25" customHeight="1" thickBot="1">
      <c r="A14" s="29"/>
      <c r="B14" s="84">
        <f>IF(virheet!I10&lt;1,IF(virheet!A6&gt;0,"",IF('muut muuttujat'!G3=1,"",IF(COUNTA(B13)=0,"hyväksy 'Enterillä'","")))," ")</f>
      </c>
      <c r="C14" s="103"/>
      <c r="D14" s="33"/>
      <c r="E14" s="216"/>
      <c r="F14" s="105"/>
      <c r="G14" s="105"/>
      <c r="H14" s="39"/>
      <c r="I14" s="28"/>
      <c r="J14" s="172" t="s">
        <v>161</v>
      </c>
      <c r="K14" s="84" t="str">
        <f>IF(COUNTA(K13)=0,"hyväksy 'Enterillä'","")</f>
        <v>hyväksy 'Enterillä'</v>
      </c>
      <c r="L14" s="33"/>
      <c r="M14" s="32"/>
    </row>
    <row r="15" spans="1:13" ht="15" customHeight="1" thickBot="1">
      <c r="A15" s="29"/>
      <c r="B15" s="379">
        <f>IF(virheet!I10&lt;1,IF('muut muuttujat'!G3=2,IF(virheet!A3=1,virheet!B3,""),"")," ")</f>
      </c>
      <c r="C15" s="380"/>
      <c r="D15" s="373"/>
      <c r="E15" s="42"/>
      <c r="F15" s="104" t="str">
        <f>IF(virheet!I10&lt;1,IF(VLOOKUP(virheet!$A$10,virheet!$A$12:$F$185,6,FALSE)=0,"Ei täytetä valitulle opettajalle. Siirry kohtaan 8.","7. Syötä kertaylituntien määrä:"),"Älä täytä")</f>
        <v>Ei täytetä valitulle opettajalle. Siirry kohtaan 8.</v>
      </c>
      <c r="G15" s="105"/>
      <c r="H15" s="33"/>
      <c r="I15" s="33"/>
      <c r="J15" s="32"/>
      <c r="K15" s="43"/>
      <c r="L15" s="33"/>
      <c r="M15" s="32"/>
    </row>
    <row r="16" spans="1:13" ht="13.5" customHeight="1" thickBot="1">
      <c r="A16" s="29"/>
      <c r="B16" s="379"/>
      <c r="C16" s="380"/>
      <c r="D16" s="373"/>
      <c r="E16" s="42"/>
      <c r="F16" s="33"/>
      <c r="G16" s="33"/>
      <c r="H16" s="33"/>
      <c r="I16" s="28"/>
      <c r="J16" s="172" t="s">
        <v>162</v>
      </c>
      <c r="K16" s="43"/>
      <c r="L16" s="33"/>
      <c r="M16" s="32"/>
    </row>
    <row r="17" spans="1:13" ht="9.75" customHeight="1" thickBot="1">
      <c r="A17" s="29"/>
      <c r="B17" s="381"/>
      <c r="C17" s="382"/>
      <c r="D17" s="377"/>
      <c r="E17" s="123"/>
      <c r="F17" s="124"/>
      <c r="G17" s="124"/>
      <c r="H17" s="124"/>
      <c r="I17" s="55" t="str">
        <f>IF(virheet!F10=0," ",IF(COUNTA(I16)=0,"hyväksy 'Enterillä'",""))</f>
        <v> </v>
      </c>
      <c r="J17" s="77"/>
      <c r="K17" s="207"/>
      <c r="L17" s="124"/>
      <c r="M17" s="125"/>
    </row>
    <row r="18" spans="1:13" ht="39" customHeight="1" thickBot="1">
      <c r="A18" s="29"/>
      <c r="B18" s="360" t="str">
        <f>VLOOKUP(laskenta!$A$4,laskenta!$A$6:$B$179,2,FALSE)</f>
        <v>40301101 Peruskoulu -  Vuosiluokkia 1–6 käsittävän koulun rehtori, 12–23 palkkaperusteryhmää</v>
      </c>
      <c r="C18" s="361"/>
      <c r="D18" s="361"/>
      <c r="E18" s="361"/>
      <c r="F18" s="361"/>
      <c r="G18" s="361"/>
      <c r="H18" s="361"/>
      <c r="I18" s="361"/>
      <c r="J18" s="250" t="str">
        <f>IF(virheet!I10&gt;0,"SYÖTÄ ALLA PYYDETYT TIEDOT:"," ")</f>
        <v> </v>
      </c>
      <c r="K18" s="251"/>
      <c r="L18" s="252"/>
      <c r="M18" s="258" t="str">
        <f>IF(virheet!$I$10=0,"Älä täytä:"," ")</f>
        <v>Älä täytä:</v>
      </c>
    </row>
    <row r="19" spans="1:13" ht="13.5" customHeight="1" thickBot="1">
      <c r="A19" s="29"/>
      <c r="B19" s="342" t="s">
        <v>211</v>
      </c>
      <c r="C19" s="343"/>
      <c r="D19" s="343"/>
      <c r="E19" s="343"/>
      <c r="F19" s="343"/>
      <c r="G19" s="113">
        <f>IF(virheet!I10&lt;1,IF('muut muuttujat'!A3=1,VLOOKUP(laskenta!A4,laskenta!$A$6:$J$179,5,FALSE),VLOOKUP(laskenta!A4,laskenta!$A$6:$P$179,6,FALSE))," ")</f>
        <v>3742.79</v>
      </c>
      <c r="H19" s="114"/>
      <c r="I19" s="48" t="s">
        <v>36</v>
      </c>
      <c r="J19" s="253">
        <f>IF(virheet!I10=1,"Ei valita ko. opettajalla",IF(virheet!I10=2,"1. Onko oikeus määrävuosikorotukseen?",""))</f>
      </c>
      <c r="K19" s="254"/>
      <c r="L19" s="255"/>
      <c r="M19" s="246"/>
    </row>
    <row r="20" spans="1:13" ht="13.5" customHeight="1" thickBot="1">
      <c r="A20" s="29"/>
      <c r="B20" s="115" t="s">
        <v>164</v>
      </c>
      <c r="C20" s="179"/>
      <c r="D20" s="116"/>
      <c r="E20" s="81"/>
      <c r="F20" s="81"/>
      <c r="G20" s="117">
        <f>IF(virheet!I10&lt;1,IF(F6=0,"",F6)," ")</f>
      </c>
      <c r="H20" s="118"/>
      <c r="I20" s="119" t="s">
        <v>36</v>
      </c>
      <c r="J20" s="256" t="str">
        <f>IF(virheet!I10=1,"Ei täytetä ko. opettajalle",IF(virheet!I10=2,"2. Syötä kelpoisuuden mukaan tuleva korotus-%:"," "))</f>
        <v> </v>
      </c>
      <c r="K20" s="254"/>
      <c r="L20" s="255"/>
      <c r="M20" s="234"/>
    </row>
    <row r="21" spans="1:13" ht="13.5" customHeight="1" thickBot="1">
      <c r="A21" s="29"/>
      <c r="B21" s="82" t="s">
        <v>163</v>
      </c>
      <c r="C21" s="72"/>
      <c r="D21" s="72"/>
      <c r="E21" s="67"/>
      <c r="F21" s="67"/>
      <c r="G21" s="73">
        <f>IF(virheet!I10&lt;1,IF(G19="epäpät %"," ",IF(G19=0," ",IF(G19="% rehtorista","",ROUND(VLOOKUP(laskenta!$A$4,laskenta!$A$6:$AC$179,23+'muut muuttujat'!J3,FALSE)*G19-G19,2))))," ")</f>
        <v>0</v>
      </c>
      <c r="H21" s="71"/>
      <c r="I21" s="120" t="s">
        <v>36</v>
      </c>
      <c r="J21" s="257" t="str">
        <f>IF(virheet!I10&gt;0,"3. Syötä tuntien määrä kuukaudessa:"," ")</f>
        <v> </v>
      </c>
      <c r="K21" s="254"/>
      <c r="L21" s="254"/>
      <c r="M21" s="235"/>
    </row>
    <row r="22" spans="1:13" ht="13.5" customHeight="1" thickBot="1">
      <c r="A22" s="29"/>
      <c r="B22" s="83" t="s">
        <v>210</v>
      </c>
      <c r="C22" s="35"/>
      <c r="D22" s="35"/>
      <c r="E22" s="35"/>
      <c r="F22" s="344" t="str">
        <f>IF(virheet!I10&lt;1,IF(L23=" "," ",IF(virheet!$F$10=0,"eivät mahdollisia",ROUND(I14*L23,2)))," ")</f>
        <v> </v>
      </c>
      <c r="G22" s="345"/>
      <c r="H22" s="71"/>
      <c r="I22" s="120" t="str">
        <f>IF(virheet!I10&lt;1,CONCATENATE("e/kk"," ","(",I14," ","kpl",")")," ")</f>
        <v>e/kk ( kpl)</v>
      </c>
      <c r="J22" s="194" t="s">
        <v>218</v>
      </c>
      <c r="K22" s="195"/>
      <c r="L22" s="218" t="str">
        <f>IF(virheet!I10&gt;0,VLOOKUP(laskenta!A4,laskenta!$A$6:$Q$179,17,FALSE)," ")</f>
        <v> </v>
      </c>
      <c r="M22" s="196" t="s">
        <v>169</v>
      </c>
    </row>
    <row r="23" spans="1:13" ht="13.5" customHeight="1">
      <c r="A23" s="29"/>
      <c r="B23" s="83" t="s">
        <v>243</v>
      </c>
      <c r="C23" s="35"/>
      <c r="D23" s="35"/>
      <c r="E23" s="35"/>
      <c r="F23" s="344" t="str">
        <f>IF(virheet!I10&lt;1,IF(L24=" "," ",IF(virheet!$F$10=0,"eivät mahdollisia",ROUND(I16*L24,2))),ROUND(KÄYTTÖTAULU!L22*KÄYTTÖTAULU!M21,2))</f>
        <v> </v>
      </c>
      <c r="G23" s="345"/>
      <c r="H23" s="71"/>
      <c r="I23" s="120" t="str">
        <f>CONCATENATE("e/kk"," ","(",IF(virheet!I10&lt;1,I16,KÄYTTÖTAULU!M21)," ","kpl",")")</f>
        <v>e/kk ( kpl)</v>
      </c>
      <c r="J23" s="219" t="s">
        <v>171</v>
      </c>
      <c r="K23" s="204"/>
      <c r="L23" s="205" t="str">
        <f>IF(virheet!I10=0,IF(I8*F6=0," ",IF(virheet!F10=0," ",IF('muut muuttujat'!A3=1,VLOOKUP(laskenta!A4,laskenta!$A$6:$P$179,11,FALSE),VLOOKUP(laskenta!A4,laskenta!$A$6:$P$179,12,FALSE))))," ")</f>
        <v> </v>
      </c>
      <c r="M23" s="206" t="s">
        <v>36</v>
      </c>
    </row>
    <row r="24" spans="1:13" ht="13.5" customHeight="1" thickBot="1">
      <c r="A24" s="29"/>
      <c r="B24" s="85" t="s">
        <v>242</v>
      </c>
      <c r="C24" s="68"/>
      <c r="D24" s="68"/>
      <c r="E24" s="67"/>
      <c r="F24" s="67"/>
      <c r="G24" s="73">
        <f>IF(COUNTA(K13)=0,"",K13)</f>
      </c>
      <c r="H24" s="67"/>
      <c r="I24" s="121" t="s">
        <v>36</v>
      </c>
      <c r="J24" s="220" t="s">
        <v>172</v>
      </c>
      <c r="K24" s="94"/>
      <c r="L24" s="203" t="str">
        <f>IF(virheet!I10=0,IF(I8*F6=0," ",IF(virheet!F10=0," ",IF('muut muuttujat'!A$3=1,VLOOKUP(laskenta!A$4,laskenta!$A$6:$P$179,13,FALSE),VLOOKUP(laskenta!A$4,laskenta!$A$6:$P$179,14,FALSE))))," ")</f>
        <v> </v>
      </c>
      <c r="M24" s="93" t="s">
        <v>169</v>
      </c>
    </row>
    <row r="25" spans="1:13" ht="12.75" customHeight="1" thickBot="1">
      <c r="A25" s="58"/>
      <c r="B25" s="70" t="s">
        <v>165</v>
      </c>
      <c r="C25" s="144"/>
      <c r="D25" s="69"/>
      <c r="E25" s="69"/>
      <c r="F25" s="69"/>
      <c r="G25" s="86" t="str">
        <f>IF(F6=0," ",SUM(F20:G24))</f>
        <v> </v>
      </c>
      <c r="H25" s="87"/>
      <c r="I25" s="122" t="s">
        <v>36</v>
      </c>
      <c r="J25" s="221" t="s">
        <v>170</v>
      </c>
      <c r="K25" s="213"/>
      <c r="L25" s="202" t="str">
        <f>IF(virheet!H10=0," ",IF(I8=0," ",IF(virheet!F10=0,"",IF('muut muuttujat'!A$3=1,VLOOKUP(laskenta!A$4,laskenta!$A$6:$P$179,15,FALSE),VLOOKUP(laskenta!A$4,laskenta!$A$6:$P$179,16,FALSE)))))</f>
        <v> </v>
      </c>
      <c r="M25" s="90" t="s">
        <v>169</v>
      </c>
    </row>
    <row r="26" spans="1:13" ht="16.5" customHeight="1" thickBot="1">
      <c r="A26" s="145"/>
      <c r="B26" s="209"/>
      <c r="C26" s="209"/>
      <c r="D26" s="210"/>
      <c r="E26" s="210"/>
      <c r="F26" s="210"/>
      <c r="G26" s="211"/>
      <c r="H26" s="212"/>
      <c r="I26" s="209"/>
      <c r="J26" s="146"/>
      <c r="K26" s="147"/>
      <c r="L26" s="148"/>
      <c r="M26" s="149"/>
    </row>
    <row r="27" spans="1:13" ht="13.5" customHeight="1" thickBot="1">
      <c r="A27" s="140" t="s">
        <v>499</v>
      </c>
      <c r="B27" s="141"/>
      <c r="C27" s="141"/>
      <c r="D27" s="141"/>
      <c r="E27" s="69"/>
      <c r="F27" s="69"/>
      <c r="G27" s="69"/>
      <c r="H27" s="69"/>
      <c r="I27" s="69"/>
      <c r="J27" s="69"/>
      <c r="K27" s="69"/>
      <c r="L27" s="69"/>
      <c r="M27" s="142"/>
    </row>
    <row r="28" spans="1:13" ht="13.5" customHeight="1">
      <c r="A28" s="186" t="s">
        <v>132</v>
      </c>
      <c r="B28" s="223" t="s">
        <v>219</v>
      </c>
      <c r="C28" s="174"/>
      <c r="D28" s="150"/>
      <c r="E28" s="346" t="s">
        <v>220</v>
      </c>
      <c r="F28" s="347"/>
      <c r="G28" s="348"/>
      <c r="H28" s="222" t="s">
        <v>232</v>
      </c>
      <c r="I28" s="111"/>
      <c r="J28" s="176"/>
      <c r="K28" s="176"/>
      <c r="L28" s="106"/>
      <c r="M28" s="57"/>
    </row>
    <row r="29" spans="1:13" ht="13.5" customHeight="1">
      <c r="A29" s="187"/>
      <c r="B29" s="178" t="s">
        <v>131</v>
      </c>
      <c r="C29" s="178"/>
      <c r="D29" s="139"/>
      <c r="E29" s="349" t="s">
        <v>298</v>
      </c>
      <c r="F29" s="350"/>
      <c r="G29" s="351"/>
      <c r="H29" s="169"/>
      <c r="I29" s="104" t="s">
        <v>530</v>
      </c>
      <c r="J29" s="105"/>
      <c r="K29" s="105"/>
      <c r="L29" s="95"/>
      <c r="M29" s="172" t="s">
        <v>162</v>
      </c>
    </row>
    <row r="30" spans="1:13" ht="12" customHeight="1">
      <c r="A30" s="187"/>
      <c r="B30" s="178"/>
      <c r="C30" s="178"/>
      <c r="D30" s="139"/>
      <c r="E30" s="127"/>
      <c r="F30" s="98"/>
      <c r="G30" s="192"/>
      <c r="H30" s="169"/>
      <c r="I30" s="104" t="s">
        <v>533</v>
      </c>
      <c r="J30" s="105"/>
      <c r="K30" s="105"/>
      <c r="L30" s="95"/>
      <c r="M30" s="172" t="s">
        <v>162</v>
      </c>
    </row>
    <row r="31" spans="1:13" ht="12.75">
      <c r="A31" s="187"/>
      <c r="B31" s="107"/>
      <c r="C31" s="107"/>
      <c r="D31" s="139"/>
      <c r="E31" s="33"/>
      <c r="F31" s="33"/>
      <c r="G31" s="32"/>
      <c r="H31" s="42"/>
      <c r="I31" s="364" t="s">
        <v>546</v>
      </c>
      <c r="J31" s="364"/>
      <c r="K31" s="365"/>
      <c r="L31" s="95"/>
      <c r="M31" s="172" t="s">
        <v>162</v>
      </c>
    </row>
    <row r="32" spans="1:13" ht="17.25" customHeight="1">
      <c r="A32" s="187"/>
      <c r="B32" s="107"/>
      <c r="C32" s="107"/>
      <c r="D32" s="139"/>
      <c r="E32" s="33"/>
      <c r="F32" s="33"/>
      <c r="G32" s="32"/>
      <c r="H32" s="366" t="str">
        <f>VLOOKUP('vuosityö ja aikk laskenta'!A4,'vuosityö ja aikk laskenta'!$A$5:$B$16,2,FALSE)</f>
        <v>41103003 Opinto-ohjaaja/ylempi korkeakoulututkinto</v>
      </c>
      <c r="I32" s="367"/>
      <c r="J32" s="367"/>
      <c r="K32" s="367"/>
      <c r="L32" s="367"/>
      <c r="M32" s="368"/>
    </row>
    <row r="33" spans="1:13" ht="13.5" customHeight="1" thickBot="1">
      <c r="A33" s="187"/>
      <c r="B33" s="33"/>
      <c r="C33" s="33"/>
      <c r="D33" s="139"/>
      <c r="E33" s="33"/>
      <c r="F33" s="33"/>
      <c r="G33" s="33"/>
      <c r="H33" s="366"/>
      <c r="I33" s="367"/>
      <c r="J33" s="367"/>
      <c r="K33" s="367"/>
      <c r="L33" s="367"/>
      <c r="M33" s="368"/>
    </row>
    <row r="34" spans="1:13" ht="13.5" customHeight="1" thickBot="1">
      <c r="A34" s="187"/>
      <c r="B34" s="180" t="s">
        <v>330</v>
      </c>
      <c r="C34" s="180"/>
      <c r="D34" s="139"/>
      <c r="E34" s="33"/>
      <c r="F34" s="33"/>
      <c r="G34" s="33"/>
      <c r="H34" s="184"/>
      <c r="I34" s="165" t="s">
        <v>513</v>
      </c>
      <c r="J34" s="166"/>
      <c r="K34" s="166"/>
      <c r="L34" s="113">
        <f>ROUND(VLOOKUP('vuosityö ja aikk laskenta'!$A$4,'vuosityö ja aikk laskenta'!$A$5:$N$14,IF('vuosityö ja aikk laskenta'!A18=1,2+'vuosityö ja aikk laskenta'!A23,8+'vuosityö ja aikk laskenta'!A23),FALSE)*(1-B35/100),2)</f>
        <v>3221.92</v>
      </c>
      <c r="M34" s="170" t="s">
        <v>36</v>
      </c>
    </row>
    <row r="35" spans="1:15" ht="13.5" customHeight="1" thickBot="1">
      <c r="A35" s="187"/>
      <c r="B35" s="236"/>
      <c r="C35" s="182" t="s">
        <v>233</v>
      </c>
      <c r="D35" s="173"/>
      <c r="E35" s="33"/>
      <c r="F35" s="33"/>
      <c r="G35" s="33"/>
      <c r="H35" s="184"/>
      <c r="I35" s="167" t="s">
        <v>222</v>
      </c>
      <c r="J35" s="152"/>
      <c r="K35" s="153"/>
      <c r="L35" s="117" t="str">
        <f>IF(B39=0," ",B39)</f>
        <v> </v>
      </c>
      <c r="M35" s="154" t="s">
        <v>36</v>
      </c>
      <c r="O35" s="244"/>
    </row>
    <row r="36" spans="1:13" ht="13.5" customHeight="1">
      <c r="A36" s="187"/>
      <c r="B36" s="352" t="s">
        <v>532</v>
      </c>
      <c r="C36" s="353"/>
      <c r="D36" s="224" t="s">
        <v>306</v>
      </c>
      <c r="E36" s="106"/>
      <c r="F36" s="177"/>
      <c r="G36" s="57"/>
      <c r="H36" s="184"/>
      <c r="I36" s="168" t="s">
        <v>528</v>
      </c>
      <c r="J36" s="157"/>
      <c r="K36" s="157"/>
      <c r="L36" s="245" t="str">
        <f>IF(L29=0," ",ROUND(ROUND(($B$39+$F$38)/125,2)*L29,2))</f>
        <v> </v>
      </c>
      <c r="M36" s="120" t="s">
        <v>36</v>
      </c>
    </row>
    <row r="37" spans="1:13" ht="13.5" customHeight="1" thickBot="1">
      <c r="A37" s="187"/>
      <c r="B37" s="354"/>
      <c r="C37" s="355"/>
      <c r="D37" s="169" t="s">
        <v>238</v>
      </c>
      <c r="E37" s="104"/>
      <c r="F37" s="104"/>
      <c r="G37" s="32"/>
      <c r="H37" s="184"/>
      <c r="I37" s="168" t="s">
        <v>529</v>
      </c>
      <c r="J37" s="157"/>
      <c r="K37" s="157"/>
      <c r="L37" s="245" t="str">
        <f>IF(L30=0," ",ROUND(ROUND(ROUND(($B$39+$F$38)/125,2)*1.5,2)*L30,2))</f>
        <v> </v>
      </c>
      <c r="M37" s="120" t="s">
        <v>36</v>
      </c>
    </row>
    <row r="38" spans="1:13" ht="13.5" customHeight="1" thickBot="1">
      <c r="A38" s="187"/>
      <c r="B38" s="104" t="s">
        <v>234</v>
      </c>
      <c r="C38" s="104"/>
      <c r="D38" s="169" t="s">
        <v>239</v>
      </c>
      <c r="E38" s="104"/>
      <c r="F38" s="27"/>
      <c r="G38" s="183" t="s">
        <v>36</v>
      </c>
      <c r="H38" s="184"/>
      <c r="I38" s="168" t="s">
        <v>223</v>
      </c>
      <c r="J38" s="157"/>
      <c r="K38" s="157"/>
      <c r="L38" s="245" t="str">
        <f>IF(L31=0," ",ROUND(ROUND(ROUND(($B$39+$F$38)/125*0.5,2)*L31,2)*L30,2))</f>
        <v> </v>
      </c>
      <c r="M38" s="156" t="s">
        <v>36</v>
      </c>
    </row>
    <row r="39" spans="1:13" ht="13.5" customHeight="1" thickBot="1">
      <c r="A39" s="187"/>
      <c r="B39" s="27"/>
      <c r="C39" s="171" t="s">
        <v>36</v>
      </c>
      <c r="D39" s="169" t="s">
        <v>241</v>
      </c>
      <c r="E39" s="104"/>
      <c r="F39" s="104"/>
      <c r="G39" s="32"/>
      <c r="H39" s="184"/>
      <c r="I39" s="158" t="s">
        <v>307</v>
      </c>
      <c r="J39" s="159"/>
      <c r="K39" s="155"/>
      <c r="L39" s="193" t="str">
        <f>IF(F38+F40=0," ",F40+F38)</f>
        <v> </v>
      </c>
      <c r="M39" s="160" t="s">
        <v>36</v>
      </c>
    </row>
    <row r="40" spans="1:13" ht="13.5" customHeight="1" thickBot="1">
      <c r="A40" s="188"/>
      <c r="B40" s="340" t="str">
        <f>IF(B39=0," ",IF(B39&lt;L34,"Liian alhainen!"," "))</f>
        <v> </v>
      </c>
      <c r="C40" s="341"/>
      <c r="D40" s="190" t="s">
        <v>239</v>
      </c>
      <c r="E40" s="175"/>
      <c r="F40" s="27"/>
      <c r="G40" s="191" t="s">
        <v>36</v>
      </c>
      <c r="H40" s="185"/>
      <c r="I40" s="161" t="s">
        <v>165</v>
      </c>
      <c r="J40" s="162"/>
      <c r="K40" s="162"/>
      <c r="L40" s="163" t="str">
        <f>IF(B39=0," ",SUM(L35:L39))</f>
        <v> </v>
      </c>
      <c r="M40" s="164" t="s">
        <v>36</v>
      </c>
    </row>
    <row r="41" spans="1:13" ht="4.5" customHeight="1" thickBot="1">
      <c r="A41" s="30"/>
      <c r="B41" s="36"/>
      <c r="C41" s="36"/>
      <c r="D41" s="36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 thickBot="1">
      <c r="A42" s="232" t="s">
        <v>295</v>
      </c>
      <c r="B42" s="141"/>
      <c r="C42" s="141"/>
      <c r="D42" s="141"/>
      <c r="E42" s="69"/>
      <c r="F42" s="69"/>
      <c r="G42" s="69"/>
      <c r="H42" s="69"/>
      <c r="I42" s="69"/>
      <c r="J42" s="69"/>
      <c r="K42" s="69"/>
      <c r="L42" s="69"/>
      <c r="M42" s="142"/>
    </row>
    <row r="43" spans="1:13" ht="13.5">
      <c r="A43" s="186" t="s">
        <v>132</v>
      </c>
      <c r="B43" s="223" t="s">
        <v>328</v>
      </c>
      <c r="C43" s="174"/>
      <c r="D43" s="150"/>
      <c r="E43" s="346" t="s">
        <v>220</v>
      </c>
      <c r="F43" s="347"/>
      <c r="G43" s="348"/>
      <c r="H43" s="222" t="s">
        <v>232</v>
      </c>
      <c r="I43" s="111"/>
      <c r="J43" s="176"/>
      <c r="K43" s="176"/>
      <c r="L43" s="106"/>
      <c r="M43" s="57"/>
    </row>
    <row r="44" spans="1:13" ht="12.75">
      <c r="A44" s="187"/>
      <c r="B44" s="180" t="s">
        <v>329</v>
      </c>
      <c r="C44" s="178"/>
      <c r="D44" s="139"/>
      <c r="E44" s="349" t="s">
        <v>299</v>
      </c>
      <c r="F44" s="350"/>
      <c r="G44" s="351"/>
      <c r="H44" s="169"/>
      <c r="I44" s="104" t="s">
        <v>303</v>
      </c>
      <c r="J44" s="105"/>
      <c r="K44" s="105"/>
      <c r="L44" s="95"/>
      <c r="M44" s="172" t="s">
        <v>162</v>
      </c>
    </row>
    <row r="45" spans="1:13" ht="4.5" customHeight="1" thickBot="1">
      <c r="A45" s="187"/>
      <c r="B45" s="180"/>
      <c r="C45" s="180"/>
      <c r="D45" s="139"/>
      <c r="E45" s="127"/>
      <c r="F45" s="98"/>
      <c r="G45" s="192"/>
      <c r="H45" s="169"/>
      <c r="I45" s="104"/>
      <c r="J45" s="105"/>
      <c r="K45" s="105"/>
      <c r="L45" s="105"/>
      <c r="M45" s="172"/>
    </row>
    <row r="46" spans="1:13" ht="15" customHeight="1" thickBot="1">
      <c r="A46" s="187"/>
      <c r="B46" s="236"/>
      <c r="C46" s="229" t="s">
        <v>233</v>
      </c>
      <c r="D46" s="173"/>
      <c r="E46" s="33"/>
      <c r="F46" s="33"/>
      <c r="G46" s="32"/>
      <c r="H46" s="42"/>
      <c r="I46" s="104" t="s">
        <v>304</v>
      </c>
      <c r="J46" s="105"/>
      <c r="K46" s="105"/>
      <c r="L46" s="95"/>
      <c r="M46" s="172" t="s">
        <v>162</v>
      </c>
    </row>
    <row r="47" spans="1:13" ht="5.25" customHeight="1" thickBot="1">
      <c r="A47" s="187"/>
      <c r="B47" s="231"/>
      <c r="C47" s="229"/>
      <c r="D47" s="173"/>
      <c r="E47" s="33"/>
      <c r="F47" s="33"/>
      <c r="G47" s="33"/>
      <c r="H47" s="42"/>
      <c r="I47" s="104"/>
      <c r="J47" s="105"/>
      <c r="K47" s="105"/>
      <c r="L47" s="237"/>
      <c r="M47" s="172"/>
    </row>
    <row r="48" spans="1:13" ht="15" customHeight="1" thickBot="1">
      <c r="A48" s="187"/>
      <c r="B48" s="231"/>
      <c r="C48" s="229"/>
      <c r="D48" s="173"/>
      <c r="E48" s="33"/>
      <c r="F48" s="33"/>
      <c r="G48" s="33"/>
      <c r="H48" s="42"/>
      <c r="I48" s="104" t="s">
        <v>305</v>
      </c>
      <c r="J48" s="105"/>
      <c r="K48" s="105"/>
      <c r="L48" s="28"/>
      <c r="M48" s="172" t="s">
        <v>162</v>
      </c>
    </row>
    <row r="49" spans="1:13" ht="5.25" customHeight="1" thickBot="1">
      <c r="A49" s="187"/>
      <c r="B49" s="231"/>
      <c r="C49" s="229"/>
      <c r="D49" s="173"/>
      <c r="E49" s="33"/>
      <c r="F49" s="33"/>
      <c r="G49" s="33"/>
      <c r="H49" s="42"/>
      <c r="I49" s="104"/>
      <c r="J49" s="105"/>
      <c r="K49" s="105"/>
      <c r="L49" s="105"/>
      <c r="M49" s="172"/>
    </row>
    <row r="50" spans="1:13" ht="27.75" customHeight="1" thickBot="1">
      <c r="A50" s="187"/>
      <c r="B50" s="33"/>
      <c r="C50" s="33"/>
      <c r="D50" s="139"/>
      <c r="E50" s="33"/>
      <c r="F50" s="33"/>
      <c r="G50" s="33"/>
      <c r="H50" s="259"/>
      <c r="I50" s="337" t="str">
        <f>VLOOKUP('vuosityö ja aikk laskenta'!A34,'vuosityö ja aikk laskenta'!A35:B38,2,FALSE)</f>
        <v>43004004 Amm.aikuisk.keskuksen kokaik.opettaja/Ylempi k.k.tutk.</v>
      </c>
      <c r="J50" s="338"/>
      <c r="K50" s="338"/>
      <c r="L50" s="338"/>
      <c r="M50" s="339"/>
    </row>
    <row r="51" spans="1:13" ht="14.25" customHeight="1" thickBot="1">
      <c r="A51" s="29"/>
      <c r="B51" s="230" t="s">
        <v>143</v>
      </c>
      <c r="C51" s="240"/>
      <c r="D51" s="230" t="s">
        <v>306</v>
      </c>
      <c r="E51" s="106"/>
      <c r="F51" s="177"/>
      <c r="G51" s="57"/>
      <c r="H51" s="260"/>
      <c r="I51" s="165" t="s">
        <v>327</v>
      </c>
      <c r="J51" s="166"/>
      <c r="K51" s="166"/>
      <c r="L51" s="113">
        <f>ROUND(VLOOKUP('vuosityö ja aikk laskenta'!A34,'vuosityö ja aikk laskenta'!$A$35:$G$38,2+'vuosityö ja aikk laskenta'!A42,FALSE)*(1-B46/100),2)</f>
        <v>3781.76</v>
      </c>
      <c r="M51" s="170" t="s">
        <v>36</v>
      </c>
    </row>
    <row r="52" spans="1:13" ht="13.5" thickBot="1">
      <c r="A52" s="29"/>
      <c r="B52" s="169" t="s">
        <v>234</v>
      </c>
      <c r="C52" s="241"/>
      <c r="D52" s="169" t="s">
        <v>301</v>
      </c>
      <c r="E52" s="104"/>
      <c r="F52" s="104"/>
      <c r="G52" s="32"/>
      <c r="H52" s="260"/>
      <c r="I52" s="167" t="s">
        <v>222</v>
      </c>
      <c r="J52" s="152"/>
      <c r="K52" s="153"/>
      <c r="L52" s="117" t="str">
        <f>IF(B53=0," ",B53)</f>
        <v> </v>
      </c>
      <c r="M52" s="154" t="s">
        <v>36</v>
      </c>
    </row>
    <row r="53" spans="1:13" ht="13.5" thickBot="1">
      <c r="A53" s="29"/>
      <c r="B53" s="27"/>
      <c r="C53" s="183" t="s">
        <v>36</v>
      </c>
      <c r="D53" s="169" t="s">
        <v>302</v>
      </c>
      <c r="E53" s="104"/>
      <c r="F53" s="27"/>
      <c r="G53" s="183" t="s">
        <v>36</v>
      </c>
      <c r="H53" s="260"/>
      <c r="I53" s="168" t="s">
        <v>300</v>
      </c>
      <c r="J53" s="157"/>
      <c r="K53" s="157"/>
      <c r="L53" s="157" t="str">
        <f>IF(L44=0," ",ROUND(ROUND($B$53/163,2)*L44,2))</f>
        <v> </v>
      </c>
      <c r="M53" s="120" t="s">
        <v>36</v>
      </c>
    </row>
    <row r="54" spans="1:13" ht="12.75">
      <c r="A54" s="29"/>
      <c r="B54" s="238" t="str">
        <f>IF(B53=0," ",IF(B53&lt;L51,"Alle vähimmäispalkan!"," "))</f>
        <v> </v>
      </c>
      <c r="C54" s="32"/>
      <c r="D54" s="169"/>
      <c r="E54" s="104"/>
      <c r="F54" s="104"/>
      <c r="G54" s="32"/>
      <c r="H54" s="260"/>
      <c r="I54" s="168" t="s">
        <v>223</v>
      </c>
      <c r="J54" s="157"/>
      <c r="K54" s="157"/>
      <c r="L54" s="245" t="str">
        <f>IF(L46+L48=0," ",ROUND(ROUND(B53/163*0.15,2)*L46,2)+ROUND(ROUND($B$53/163*0.3,2)*L48,2))</f>
        <v> </v>
      </c>
      <c r="M54" s="156" t="s">
        <v>36</v>
      </c>
    </row>
    <row r="55" spans="1:13" ht="14.25" thickBot="1">
      <c r="A55" s="29"/>
      <c r="B55" s="42"/>
      <c r="C55" s="239"/>
      <c r="D55" s="169"/>
      <c r="E55" s="104"/>
      <c r="F55" s="104"/>
      <c r="G55" s="183"/>
      <c r="H55" s="260"/>
      <c r="I55" s="158" t="s">
        <v>307</v>
      </c>
      <c r="J55" s="159"/>
      <c r="K55" s="155"/>
      <c r="L55" s="193" t="str">
        <f>IF(F53=0," ",F53)</f>
        <v> </v>
      </c>
      <c r="M55" s="160" t="s">
        <v>36</v>
      </c>
    </row>
    <row r="56" spans="1:13" ht="13.5" thickBot="1">
      <c r="A56" s="233"/>
      <c r="B56" s="243"/>
      <c r="C56" s="242"/>
      <c r="D56" s="233"/>
      <c r="E56" s="76"/>
      <c r="F56" s="76"/>
      <c r="G56" s="77"/>
      <c r="H56" s="261"/>
      <c r="I56" s="161" t="s">
        <v>165</v>
      </c>
      <c r="J56" s="162"/>
      <c r="K56" s="162"/>
      <c r="L56" s="163" t="str">
        <f>IF(B53=0," ",SUM(L52:L55))</f>
        <v> </v>
      </c>
      <c r="M56" s="164" t="s">
        <v>36</v>
      </c>
    </row>
    <row r="57" spans="1:13" ht="12.75">
      <c r="A57" s="36"/>
      <c r="B57" s="36"/>
      <c r="C57" s="36"/>
      <c r="D57" s="36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2.75">
      <c r="A58" s="30"/>
      <c r="B58" s="36"/>
      <c r="C58" s="36"/>
      <c r="D58" s="36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2.75">
      <c r="A59" s="30"/>
      <c r="B59" s="36"/>
      <c r="C59" s="36"/>
      <c r="D59" s="36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2.75">
      <c r="A60" s="30"/>
      <c r="B60" s="36"/>
      <c r="C60" s="36"/>
      <c r="D60" s="36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.75">
      <c r="A61" s="30"/>
      <c r="B61" s="36"/>
      <c r="C61" s="36"/>
      <c r="D61" s="36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.75">
      <c r="A62" s="30"/>
      <c r="B62" s="36"/>
      <c r="C62" s="36"/>
      <c r="D62" s="36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2.75">
      <c r="A63" s="30"/>
      <c r="B63" s="36"/>
      <c r="C63" s="36"/>
      <c r="D63" s="36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.75">
      <c r="A64" s="30"/>
      <c r="B64" s="36"/>
      <c r="C64" s="36"/>
      <c r="D64" s="36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.75">
      <c r="A65" s="30"/>
      <c r="B65" s="36"/>
      <c r="C65" s="36"/>
      <c r="D65" s="36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2.75">
      <c r="A66" s="30"/>
      <c r="B66" s="36"/>
      <c r="C66" s="36"/>
      <c r="D66" s="36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.75">
      <c r="A67" s="30"/>
      <c r="B67" s="36"/>
      <c r="C67" s="36"/>
      <c r="D67" s="36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2.75">
      <c r="A68" s="30"/>
      <c r="B68" s="36"/>
      <c r="C68" s="36"/>
      <c r="D68" s="36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.75">
      <c r="A69" s="30"/>
      <c r="B69" s="36"/>
      <c r="C69" s="36"/>
      <c r="D69" s="36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2.75">
      <c r="A70" s="30"/>
      <c r="B70" s="36"/>
      <c r="C70" s="36"/>
      <c r="D70" s="36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2.75">
      <c r="A71" s="30"/>
      <c r="B71" s="36"/>
      <c r="C71" s="36"/>
      <c r="D71" s="36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.75">
      <c r="A72" s="30"/>
      <c r="B72" s="36"/>
      <c r="C72" s="36"/>
      <c r="D72" s="36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2.75">
      <c r="A73" s="30"/>
      <c r="B73" s="36"/>
      <c r="C73" s="36"/>
      <c r="D73" s="36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.75">
      <c r="A74" s="30"/>
      <c r="B74" s="36"/>
      <c r="C74" s="36"/>
      <c r="D74" s="36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2.75">
      <c r="A75" s="30"/>
      <c r="B75" s="36"/>
      <c r="C75" s="36"/>
      <c r="D75" s="36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>
      <c r="A76" s="30"/>
      <c r="B76" s="36"/>
      <c r="C76" s="36"/>
      <c r="D76" s="36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30"/>
      <c r="B77" s="36"/>
      <c r="C77" s="36"/>
      <c r="D77" s="36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30"/>
      <c r="B78" s="36"/>
      <c r="C78" s="36"/>
      <c r="D78" s="36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2.75">
      <c r="A79" s="30"/>
      <c r="B79" s="36"/>
      <c r="C79" s="36"/>
      <c r="D79" s="36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2.75">
      <c r="A80" s="30"/>
      <c r="B80" s="36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2.75">
      <c r="A81" s="30"/>
      <c r="B81" s="36"/>
      <c r="C81" s="36"/>
      <c r="D81" s="36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2.75">
      <c r="A82" s="30"/>
      <c r="B82" s="36"/>
      <c r="C82" s="36"/>
      <c r="D82" s="36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2.75">
      <c r="A83" s="30"/>
      <c r="B83" s="36"/>
      <c r="C83" s="36"/>
      <c r="D83" s="36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2.75">
      <c r="A84" s="30"/>
      <c r="B84" s="36"/>
      <c r="C84" s="36"/>
      <c r="D84" s="36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2.75">
      <c r="A85" s="30"/>
      <c r="B85" s="36"/>
      <c r="C85" s="36"/>
      <c r="D85" s="36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30"/>
      <c r="B86" s="36"/>
      <c r="C86" s="36"/>
      <c r="D86" s="36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2.75">
      <c r="A87" s="30"/>
      <c r="B87" s="36"/>
      <c r="C87" s="36"/>
      <c r="D87" s="36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2.75">
      <c r="A88" s="30"/>
      <c r="B88" s="36"/>
      <c r="C88" s="36"/>
      <c r="D88" s="36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2.75">
      <c r="A89" s="30"/>
      <c r="B89" s="36"/>
      <c r="C89" s="36"/>
      <c r="D89" s="36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2.75">
      <c r="A90" s="30"/>
      <c r="B90" s="36"/>
      <c r="C90" s="36"/>
      <c r="D90" s="36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2.75">
      <c r="A91" s="30"/>
      <c r="B91" s="36"/>
      <c r="C91" s="36"/>
      <c r="D91" s="36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2.75">
      <c r="A92" s="30"/>
      <c r="B92" s="36"/>
      <c r="C92" s="36"/>
      <c r="D92" s="36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2.75">
      <c r="A93" s="30"/>
      <c r="B93" s="36"/>
      <c r="C93" s="36"/>
      <c r="D93" s="36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2.75">
      <c r="A94" s="30"/>
      <c r="B94" s="36"/>
      <c r="C94" s="36"/>
      <c r="D94" s="36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2.75">
      <c r="A95" s="30"/>
      <c r="B95" s="36"/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2.75">
      <c r="A96" s="30"/>
      <c r="B96" s="36"/>
      <c r="C96" s="36"/>
      <c r="D96" s="36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2.75">
      <c r="A97" s="30"/>
      <c r="B97" s="36"/>
      <c r="C97" s="36"/>
      <c r="D97" s="36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2.75">
      <c r="A98" s="30"/>
      <c r="B98" s="36"/>
      <c r="C98" s="36"/>
      <c r="D98" s="36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2.75">
      <c r="A99" s="30"/>
      <c r="B99" s="36"/>
      <c r="C99" s="36"/>
      <c r="D99" s="36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2.75">
      <c r="A100" s="30"/>
      <c r="B100" s="36"/>
      <c r="C100" s="36"/>
      <c r="D100" s="36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0"/>
      <c r="B101" s="36"/>
      <c r="C101" s="36"/>
      <c r="D101" s="36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0"/>
      <c r="B102" s="36"/>
      <c r="C102" s="36"/>
      <c r="D102" s="36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0"/>
      <c r="B103" s="36"/>
      <c r="C103" s="36"/>
      <c r="D103" s="36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0"/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0"/>
      <c r="B105" s="36"/>
      <c r="C105" s="36"/>
      <c r="D105" s="36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0"/>
      <c r="B106" s="36"/>
      <c r="C106" s="36"/>
      <c r="D106" s="36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2.75">
      <c r="A107" s="30"/>
      <c r="B107" s="36"/>
      <c r="C107" s="36"/>
      <c r="D107" s="36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2.75">
      <c r="A108" s="30"/>
      <c r="B108" s="36"/>
      <c r="C108" s="36"/>
      <c r="D108" s="36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0"/>
      <c r="B109" s="36"/>
      <c r="C109" s="36"/>
      <c r="D109" s="36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2.75">
      <c r="A110" s="30"/>
      <c r="B110" s="36"/>
      <c r="C110" s="36"/>
      <c r="D110" s="36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.75">
      <c r="A111" s="30"/>
      <c r="B111" s="36"/>
      <c r="C111" s="36"/>
      <c r="D111" s="36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0"/>
      <c r="B112" s="36"/>
      <c r="C112" s="36"/>
      <c r="D112" s="36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0"/>
      <c r="B113" s="36"/>
      <c r="C113" s="36"/>
      <c r="D113" s="36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.75">
      <c r="A114" s="30"/>
      <c r="B114" s="36"/>
      <c r="C114" s="36"/>
      <c r="D114" s="36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0"/>
      <c r="B115" s="36"/>
      <c r="C115" s="36"/>
      <c r="D115" s="36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0"/>
      <c r="B116" s="36"/>
      <c r="C116" s="36"/>
      <c r="D116" s="36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.75">
      <c r="A117" s="30"/>
      <c r="B117" s="36"/>
      <c r="C117" s="36"/>
      <c r="D117" s="36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0"/>
      <c r="B118" s="36"/>
      <c r="C118" s="36"/>
      <c r="D118" s="36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2.75">
      <c r="A119" s="30"/>
      <c r="B119" s="36"/>
      <c r="C119" s="36"/>
      <c r="D119" s="36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2.75">
      <c r="A120" s="30"/>
      <c r="B120" s="36"/>
      <c r="C120" s="36"/>
      <c r="D120" s="36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2.75">
      <c r="A121" s="30"/>
      <c r="B121" s="36"/>
      <c r="C121" s="36"/>
      <c r="D121" s="36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2.75">
      <c r="A122" s="30"/>
      <c r="B122" s="36"/>
      <c r="C122" s="36"/>
      <c r="D122" s="36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2.75">
      <c r="A123" s="30"/>
      <c r="B123" s="36"/>
      <c r="C123" s="36"/>
      <c r="D123" s="36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2.75">
      <c r="A124" s="30"/>
      <c r="B124" s="36"/>
      <c r="C124" s="36"/>
      <c r="D124" s="36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2.75">
      <c r="A125" s="30"/>
      <c r="B125" s="36"/>
      <c r="C125" s="36"/>
      <c r="D125" s="36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2.75">
      <c r="A126" s="30"/>
      <c r="B126" s="36"/>
      <c r="C126" s="36"/>
      <c r="D126" s="36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2.75">
      <c r="A127" s="30"/>
      <c r="B127" s="36"/>
      <c r="C127" s="36"/>
      <c r="D127" s="36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2.75">
      <c r="A128" s="30"/>
      <c r="B128" s="36"/>
      <c r="C128" s="36"/>
      <c r="D128" s="36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2.75">
      <c r="A129" s="30"/>
      <c r="B129" s="36"/>
      <c r="C129" s="36"/>
      <c r="D129" s="36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2.75">
      <c r="A130" s="30"/>
      <c r="B130" s="36"/>
      <c r="C130" s="36"/>
      <c r="D130" s="36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2.75">
      <c r="A131" s="30"/>
      <c r="B131" s="36"/>
      <c r="C131" s="36"/>
      <c r="D131" s="36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2.75">
      <c r="A132" s="30"/>
      <c r="B132" s="36"/>
      <c r="C132" s="36"/>
      <c r="D132" s="36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.75">
      <c r="A133" s="30"/>
      <c r="B133" s="36"/>
      <c r="C133" s="36"/>
      <c r="D133" s="36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2.75">
      <c r="A134" s="30"/>
      <c r="B134" s="36"/>
      <c r="C134" s="36"/>
      <c r="D134" s="36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>
      <c r="A135" s="30"/>
      <c r="B135" s="36"/>
      <c r="C135" s="36"/>
      <c r="D135" s="36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.75">
      <c r="A136" s="30"/>
      <c r="B136" s="36"/>
      <c r="C136" s="36"/>
      <c r="D136" s="36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2.75">
      <c r="A137" s="30"/>
      <c r="B137" s="36"/>
      <c r="C137" s="36"/>
      <c r="D137" s="36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2.75">
      <c r="A138" s="30"/>
      <c r="B138" s="36"/>
      <c r="C138" s="36"/>
      <c r="D138" s="36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.75">
      <c r="A139" s="30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2.75">
      <c r="A140" s="30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</sheetData>
  <sheetProtection sheet="1" selectLockedCells="1"/>
  <protectedRanges>
    <protectedRange password="CD44" sqref="I8" name="sy?tt?3"/>
    <protectedRange password="CD64" sqref="F6 K8 K13" name="sy?tt?2"/>
    <protectedRange password="CD04" sqref="B13" name="sy?tt?1"/>
  </protectedRanges>
  <mergeCells count="22">
    <mergeCell ref="K3:M3"/>
    <mergeCell ref="K4:M4"/>
    <mergeCell ref="K11:L12"/>
    <mergeCell ref="E8:G11"/>
    <mergeCell ref="F23:G23"/>
    <mergeCell ref="B15:D17"/>
    <mergeCell ref="B7:D8"/>
    <mergeCell ref="B11:D12"/>
    <mergeCell ref="B18:I18"/>
    <mergeCell ref="E44:G44"/>
    <mergeCell ref="I5:J7"/>
    <mergeCell ref="D9:D10"/>
    <mergeCell ref="I31:K31"/>
    <mergeCell ref="H32:M33"/>
    <mergeCell ref="I50:M50"/>
    <mergeCell ref="B40:C40"/>
    <mergeCell ref="B19:F19"/>
    <mergeCell ref="F22:G22"/>
    <mergeCell ref="E28:G28"/>
    <mergeCell ref="E29:G29"/>
    <mergeCell ref="B36:C37"/>
    <mergeCell ref="E43:G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3:K1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421875" style="1" customWidth="1"/>
    <col min="2" max="2" width="16.00390625" style="1" customWidth="1"/>
    <col min="3" max="16384" width="9.140625" style="1" customWidth="1"/>
  </cols>
  <sheetData>
    <row r="2" ht="13.5" thickBot="1"/>
    <row r="3" spans="1:11" ht="13.5" thickBot="1">
      <c r="A3" s="26">
        <v>1</v>
      </c>
      <c r="B3" s="1" t="s">
        <v>0</v>
      </c>
      <c r="C3" s="3">
        <v>2</v>
      </c>
      <c r="D3" s="1" t="s">
        <v>26</v>
      </c>
      <c r="G3" s="3">
        <v>1</v>
      </c>
      <c r="H3" s="1" t="s">
        <v>138</v>
      </c>
      <c r="J3" s="3">
        <v>1</v>
      </c>
      <c r="K3" s="1" t="s">
        <v>153</v>
      </c>
    </row>
    <row r="4" spans="1:11" ht="12.75">
      <c r="A4" s="1">
        <v>1</v>
      </c>
      <c r="B4" s="1" t="s">
        <v>2</v>
      </c>
      <c r="C4" s="1">
        <v>1</v>
      </c>
      <c r="D4" s="1" t="s">
        <v>27</v>
      </c>
      <c r="G4" s="1">
        <v>1</v>
      </c>
      <c r="H4" s="1" t="s">
        <v>31</v>
      </c>
      <c r="J4" s="1">
        <v>1</v>
      </c>
      <c r="K4" s="1" t="s">
        <v>160</v>
      </c>
    </row>
    <row r="5" spans="1:11" ht="12.75">
      <c r="A5" s="1">
        <v>2</v>
      </c>
      <c r="B5" s="1" t="s">
        <v>3</v>
      </c>
      <c r="C5" s="1">
        <v>2</v>
      </c>
      <c r="D5" s="1" t="s">
        <v>28</v>
      </c>
      <c r="G5" s="1">
        <v>2</v>
      </c>
      <c r="H5" s="1" t="s">
        <v>130</v>
      </c>
      <c r="J5" s="1">
        <v>2</v>
      </c>
      <c r="K5" s="1" t="s">
        <v>154</v>
      </c>
    </row>
    <row r="6" spans="10:11" ht="12.75">
      <c r="J6" s="1">
        <v>3</v>
      </c>
      <c r="K6" s="1" t="s">
        <v>155</v>
      </c>
    </row>
    <row r="7" spans="7:11" ht="12.75">
      <c r="G7" s="1">
        <f>IF(KÄYTTÖTAULU!B13=0,0,1)</f>
        <v>0</v>
      </c>
      <c r="J7" s="1">
        <v>4</v>
      </c>
      <c r="K7" s="1" t="s">
        <v>156</v>
      </c>
    </row>
    <row r="8" spans="10:11" ht="12.75">
      <c r="J8" s="1">
        <v>5</v>
      </c>
      <c r="K8" s="1" t="s">
        <v>157</v>
      </c>
    </row>
    <row r="9" spans="10:11" ht="12.75">
      <c r="J9" s="1">
        <v>6</v>
      </c>
      <c r="K9" s="1" t="s">
        <v>158</v>
      </c>
    </row>
    <row r="11" ht="12.75">
      <c r="A11" s="1">
        <v>1</v>
      </c>
    </row>
    <row r="12" ht="12.75">
      <c r="B12" s="1" t="s">
        <v>292</v>
      </c>
    </row>
    <row r="13" ht="12.75">
      <c r="B13" s="1" t="s">
        <v>293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AH54"/>
  <sheetViews>
    <sheetView zoomScalePageLayoutView="0" workbookViewId="0" topLeftCell="A1">
      <selection activeCell="G3" sqref="G3"/>
    </sheetView>
  </sheetViews>
  <sheetFormatPr defaultColWidth="9.140625" defaultRowHeight="12.75"/>
  <cols>
    <col min="2" max="2" width="48.28125" style="0" customWidth="1"/>
    <col min="4" max="4" width="11.57421875" style="0" customWidth="1"/>
    <col min="20" max="20" width="7.421875" style="0" customWidth="1"/>
    <col min="26" max="27" width="9.28125" style="0" bestFit="1" customWidth="1"/>
  </cols>
  <sheetData>
    <row r="1" s="189" customFormat="1" ht="16.5">
      <c r="A1" s="128" t="s">
        <v>518</v>
      </c>
    </row>
    <row r="2" spans="17:28" s="189" customFormat="1" ht="12.75">
      <c r="Q2"/>
      <c r="R2"/>
      <c r="S2"/>
      <c r="T2"/>
      <c r="U2"/>
      <c r="V2"/>
      <c r="W2"/>
      <c r="X2"/>
      <c r="Y2"/>
      <c r="Z2"/>
      <c r="AA2"/>
      <c r="AB2"/>
    </row>
    <row r="3" spans="3:28" s="189" customFormat="1" ht="13.5" thickBot="1">
      <c r="C3" s="189" t="s">
        <v>236</v>
      </c>
      <c r="D3" s="189" t="s">
        <v>236</v>
      </c>
      <c r="E3" s="189" t="s">
        <v>236</v>
      </c>
      <c r="F3" s="189" t="s">
        <v>236</v>
      </c>
      <c r="G3" s="189" t="s">
        <v>236</v>
      </c>
      <c r="H3" s="189" t="s">
        <v>236</v>
      </c>
      <c r="I3" s="189" t="s">
        <v>237</v>
      </c>
      <c r="J3" s="189" t="s">
        <v>237</v>
      </c>
      <c r="K3" s="189" t="s">
        <v>237</v>
      </c>
      <c r="L3" s="189" t="s">
        <v>237</v>
      </c>
      <c r="M3" s="189" t="s">
        <v>237</v>
      </c>
      <c r="N3" s="262" t="s">
        <v>237</v>
      </c>
      <c r="Q3"/>
      <c r="R3"/>
      <c r="S3"/>
      <c r="T3"/>
      <c r="U3"/>
      <c r="V3"/>
      <c r="W3"/>
      <c r="X3"/>
      <c r="Y3"/>
      <c r="Z3"/>
      <c r="AA3"/>
      <c r="AB3"/>
    </row>
    <row r="4" spans="1:33" s="189" customFormat="1" ht="13.5" thickBot="1">
      <c r="A4" s="151">
        <v>1</v>
      </c>
      <c r="B4" s="189" t="s">
        <v>231</v>
      </c>
      <c r="C4" s="189" t="s">
        <v>224</v>
      </c>
      <c r="D4" s="189" t="s">
        <v>501</v>
      </c>
      <c r="E4" s="189" t="s">
        <v>500</v>
      </c>
      <c r="F4" s="189" t="s">
        <v>225</v>
      </c>
      <c r="G4" s="189" t="s">
        <v>226</v>
      </c>
      <c r="H4" s="262" t="s">
        <v>502</v>
      </c>
      <c r="I4" s="189" t="s">
        <v>224</v>
      </c>
      <c r="J4" s="189" t="s">
        <v>501</v>
      </c>
      <c r="K4" s="189" t="s">
        <v>500</v>
      </c>
      <c r="L4" s="189" t="s">
        <v>225</v>
      </c>
      <c r="M4" s="189" t="s">
        <v>226</v>
      </c>
      <c r="N4" s="262" t="s">
        <v>502</v>
      </c>
      <c r="Q4"/>
      <c r="R4"/>
      <c r="S4"/>
      <c r="T4"/>
      <c r="U4"/>
      <c r="V4"/>
      <c r="W4"/>
      <c r="X4"/>
      <c r="Y4"/>
      <c r="Z4"/>
      <c r="AA4"/>
      <c r="AB4"/>
      <c r="AC4" s="25"/>
      <c r="AD4" s="25"/>
      <c r="AE4" s="25"/>
      <c r="AF4" s="25"/>
      <c r="AG4" s="25"/>
    </row>
    <row r="5" spans="1:33" s="189" customFormat="1" ht="12.75">
      <c r="A5" s="189">
        <v>1</v>
      </c>
      <c r="B5" s="189" t="s">
        <v>503</v>
      </c>
      <c r="C5" s="281">
        <v>3221.92</v>
      </c>
      <c r="D5" s="281">
        <v>3286.35</v>
      </c>
      <c r="E5" s="281">
        <v>3384.94</v>
      </c>
      <c r="F5" s="281">
        <v>3554.18</v>
      </c>
      <c r="G5" s="281">
        <v>3836.97</v>
      </c>
      <c r="H5" s="281">
        <v>3990.45</v>
      </c>
      <c r="I5" s="281">
        <v>3190.67</v>
      </c>
      <c r="J5" s="281">
        <v>3254.47</v>
      </c>
      <c r="K5" s="281">
        <v>3352.12</v>
      </c>
      <c r="L5" s="281">
        <v>3519.72</v>
      </c>
      <c r="M5" s="281">
        <v>3799.75</v>
      </c>
      <c r="N5" s="281">
        <v>3951.74</v>
      </c>
      <c r="Q5"/>
      <c r="R5"/>
      <c r="S5"/>
      <c r="T5"/>
      <c r="U5"/>
      <c r="V5"/>
      <c r="W5"/>
      <c r="X5"/>
      <c r="Y5"/>
      <c r="Z5"/>
      <c r="AA5"/>
      <c r="AB5"/>
      <c r="AC5" s="25"/>
      <c r="AD5" s="25"/>
      <c r="AE5" s="25"/>
      <c r="AF5" s="25"/>
      <c r="AG5" s="25"/>
    </row>
    <row r="6" spans="1:33" s="189" customFormat="1" ht="12.75">
      <c r="A6" s="189">
        <v>2</v>
      </c>
      <c r="B6" s="189" t="s">
        <v>504</v>
      </c>
      <c r="C6" s="281">
        <v>3129.24</v>
      </c>
      <c r="D6" s="281">
        <v>3191.82</v>
      </c>
      <c r="E6" s="281">
        <v>3287.57</v>
      </c>
      <c r="F6" s="281">
        <v>3451.94</v>
      </c>
      <c r="G6" s="281">
        <v>3726.61</v>
      </c>
      <c r="H6" s="281">
        <v>3875.66</v>
      </c>
      <c r="I6" s="281">
        <v>3099.09</v>
      </c>
      <c r="J6" s="281">
        <v>3161.07</v>
      </c>
      <c r="K6" s="281">
        <v>3255.91</v>
      </c>
      <c r="L6" s="281">
        <v>3418.72</v>
      </c>
      <c r="M6" s="281">
        <v>3690.7</v>
      </c>
      <c r="N6" s="281">
        <v>3838.33</v>
      </c>
      <c r="Q6"/>
      <c r="R6"/>
      <c r="S6"/>
      <c r="T6"/>
      <c r="U6"/>
      <c r="V6"/>
      <c r="W6"/>
      <c r="X6"/>
      <c r="Y6"/>
      <c r="Z6"/>
      <c r="AA6"/>
      <c r="AB6"/>
      <c r="AC6" s="25"/>
      <c r="AD6" s="25"/>
      <c r="AE6" s="25"/>
      <c r="AF6" s="25"/>
      <c r="AG6" s="25"/>
    </row>
    <row r="7" spans="1:34" s="189" customFormat="1" ht="12.75">
      <c r="A7" s="189">
        <v>3</v>
      </c>
      <c r="B7" s="189" t="s">
        <v>505</v>
      </c>
      <c r="C7" s="281">
        <v>3415.28</v>
      </c>
      <c r="D7" s="281">
        <v>3604.19</v>
      </c>
      <c r="E7" s="281">
        <v>3737.69</v>
      </c>
      <c r="F7" s="281">
        <v>3945.95</v>
      </c>
      <c r="G7" s="281">
        <v>4166.7</v>
      </c>
      <c r="H7" s="281">
        <v>4400.71</v>
      </c>
      <c r="I7" s="281">
        <v>3382.85</v>
      </c>
      <c r="J7" s="281">
        <v>3569.98</v>
      </c>
      <c r="K7" s="281">
        <v>3702.21</v>
      </c>
      <c r="L7" s="281">
        <v>3908.5</v>
      </c>
      <c r="M7" s="281">
        <v>4127.15</v>
      </c>
      <c r="N7" s="281">
        <v>4358.94</v>
      </c>
      <c r="Q7"/>
      <c r="R7"/>
      <c r="S7"/>
      <c r="T7"/>
      <c r="U7"/>
      <c r="V7"/>
      <c r="W7"/>
      <c r="X7"/>
      <c r="Y7"/>
      <c r="Z7"/>
      <c r="AA7"/>
      <c r="AB7"/>
      <c r="AC7" s="199"/>
      <c r="AD7" s="25"/>
      <c r="AE7" s="25"/>
      <c r="AF7" s="199"/>
      <c r="AG7" s="199"/>
      <c r="AH7" s="25"/>
    </row>
    <row r="8" spans="1:34" s="189" customFormat="1" ht="12.75">
      <c r="A8" s="262">
        <v>4</v>
      </c>
      <c r="B8" s="189" t="s">
        <v>506</v>
      </c>
      <c r="C8" s="281">
        <v>2974.06</v>
      </c>
      <c r="D8" s="281">
        <v>3138.57</v>
      </c>
      <c r="E8" s="281">
        <v>3254.83</v>
      </c>
      <c r="F8" s="281">
        <v>3436.18</v>
      </c>
      <c r="G8" s="281">
        <v>3628.42</v>
      </c>
      <c r="H8" s="281">
        <v>3832.19</v>
      </c>
      <c r="I8" s="281">
        <v>2945.84</v>
      </c>
      <c r="J8" s="281">
        <v>3108.78</v>
      </c>
      <c r="K8" s="281">
        <v>3223.93</v>
      </c>
      <c r="L8" s="281">
        <v>3403.57</v>
      </c>
      <c r="M8" s="281">
        <v>3593.99</v>
      </c>
      <c r="N8" s="281">
        <v>3795.82</v>
      </c>
      <c r="Q8"/>
      <c r="R8"/>
      <c r="S8"/>
      <c r="T8"/>
      <c r="U8"/>
      <c r="V8"/>
      <c r="W8"/>
      <c r="X8"/>
      <c r="Y8"/>
      <c r="Z8"/>
      <c r="AA8"/>
      <c r="AB8"/>
      <c r="AC8" s="25"/>
      <c r="AD8" s="135"/>
      <c r="AE8" s="135"/>
      <c r="AF8" s="135"/>
      <c r="AG8" s="135"/>
      <c r="AH8" s="25"/>
    </row>
    <row r="9" spans="1:34" s="189" customFormat="1" ht="12.75">
      <c r="A9" s="262">
        <v>5</v>
      </c>
      <c r="B9" s="189" t="s">
        <v>507</v>
      </c>
      <c r="C9" s="281">
        <v>2777.1</v>
      </c>
      <c r="D9" s="281">
        <v>2930.71</v>
      </c>
      <c r="E9" s="281">
        <v>3039.26</v>
      </c>
      <c r="F9" s="281">
        <v>3208.62</v>
      </c>
      <c r="G9" s="281">
        <v>3388.12</v>
      </c>
      <c r="H9" s="281">
        <v>3578.39</v>
      </c>
      <c r="I9" s="281">
        <v>2750.8</v>
      </c>
      <c r="J9" s="281">
        <v>2902.95</v>
      </c>
      <c r="K9" s="281">
        <v>3010.48</v>
      </c>
      <c r="L9" s="281">
        <v>3178.23</v>
      </c>
      <c r="M9" s="281">
        <v>3356.03</v>
      </c>
      <c r="N9" s="281">
        <v>3544.5</v>
      </c>
      <c r="Q9"/>
      <c r="R9"/>
      <c r="S9"/>
      <c r="T9"/>
      <c r="U9"/>
      <c r="V9"/>
      <c r="W9"/>
      <c r="X9"/>
      <c r="Y9"/>
      <c r="Z9"/>
      <c r="AA9"/>
      <c r="AB9"/>
      <c r="AC9" s="134"/>
      <c r="AD9" s="136"/>
      <c r="AE9" s="136"/>
      <c r="AF9" s="25"/>
      <c r="AG9" s="25"/>
      <c r="AH9" s="25"/>
    </row>
    <row r="10" spans="1:34" s="189" customFormat="1" ht="12.75">
      <c r="A10" s="262">
        <v>6</v>
      </c>
      <c r="B10" s="189" t="s">
        <v>508</v>
      </c>
      <c r="C10" s="291">
        <v>2712.08</v>
      </c>
      <c r="D10" s="281">
        <v>2862.1</v>
      </c>
      <c r="E10" s="281">
        <v>2968.12</v>
      </c>
      <c r="F10" s="281">
        <v>3133.5</v>
      </c>
      <c r="G10" s="281">
        <v>3308.8</v>
      </c>
      <c r="H10" s="281">
        <v>3494.62</v>
      </c>
      <c r="I10" s="291">
        <v>2686.31</v>
      </c>
      <c r="J10" s="281">
        <v>2834.92</v>
      </c>
      <c r="K10" s="281">
        <v>2939.92</v>
      </c>
      <c r="L10" s="281">
        <v>3103.73</v>
      </c>
      <c r="M10" s="281">
        <v>3277.37</v>
      </c>
      <c r="N10" s="281">
        <v>3461.42</v>
      </c>
      <c r="Q10"/>
      <c r="R10"/>
      <c r="S10"/>
      <c r="T10"/>
      <c r="U10"/>
      <c r="V10"/>
      <c r="W10"/>
      <c r="X10"/>
      <c r="Y10"/>
      <c r="Z10"/>
      <c r="AA10"/>
      <c r="AB10"/>
      <c r="AC10" s="134"/>
      <c r="AD10" s="136"/>
      <c r="AE10" s="136"/>
      <c r="AF10" s="25"/>
      <c r="AG10" s="25"/>
      <c r="AH10" s="25"/>
    </row>
    <row r="11" spans="1:34" s="189" customFormat="1" ht="12.75">
      <c r="A11" s="262">
        <v>7</v>
      </c>
      <c r="B11" s="189" t="s">
        <v>509</v>
      </c>
      <c r="C11" s="281">
        <v>3415.28</v>
      </c>
      <c r="D11" s="281">
        <v>3604.19</v>
      </c>
      <c r="E11" s="281">
        <v>3737.69</v>
      </c>
      <c r="F11" s="281">
        <v>3945.95</v>
      </c>
      <c r="G11" s="281">
        <v>4166.7</v>
      </c>
      <c r="H11" s="281">
        <v>4400.71</v>
      </c>
      <c r="I11" s="281">
        <v>3382.85</v>
      </c>
      <c r="J11" s="281">
        <v>3569.98</v>
      </c>
      <c r="K11" s="281">
        <v>3702.21</v>
      </c>
      <c r="L11" s="281">
        <v>3908.5</v>
      </c>
      <c r="M11" s="281">
        <v>4127.15</v>
      </c>
      <c r="N11" s="281">
        <v>4358.94</v>
      </c>
      <c r="Q11"/>
      <c r="R11"/>
      <c r="S11"/>
      <c r="T11"/>
      <c r="U11"/>
      <c r="V11"/>
      <c r="W11"/>
      <c r="X11"/>
      <c r="Y11"/>
      <c r="Z11"/>
      <c r="AA11"/>
      <c r="AB11"/>
      <c r="AC11" s="134"/>
      <c r="AD11" s="136"/>
      <c r="AE11" s="136"/>
      <c r="AF11" s="25"/>
      <c r="AG11" s="25"/>
      <c r="AH11" s="25"/>
    </row>
    <row r="12" spans="1:34" s="189" customFormat="1" ht="12.75">
      <c r="A12" s="262">
        <v>8</v>
      </c>
      <c r="B12" s="189" t="s">
        <v>510</v>
      </c>
      <c r="C12" s="281">
        <v>2974.06</v>
      </c>
      <c r="D12" s="281">
        <v>3138.57</v>
      </c>
      <c r="E12" s="281">
        <v>3254.83</v>
      </c>
      <c r="F12" s="281">
        <v>3436.18</v>
      </c>
      <c r="G12" s="281">
        <v>3628.42</v>
      </c>
      <c r="H12" s="281">
        <v>3832.19</v>
      </c>
      <c r="I12" s="281">
        <v>2945.84</v>
      </c>
      <c r="J12" s="281">
        <v>3108.78</v>
      </c>
      <c r="K12" s="281">
        <v>3223.93</v>
      </c>
      <c r="L12" s="281">
        <v>3403.57</v>
      </c>
      <c r="M12" s="281">
        <v>3593.99</v>
      </c>
      <c r="N12" s="281">
        <v>3795.82</v>
      </c>
      <c r="Q12"/>
      <c r="R12"/>
      <c r="S12"/>
      <c r="T12"/>
      <c r="U12"/>
      <c r="V12"/>
      <c r="W12"/>
      <c r="X12"/>
      <c r="Y12"/>
      <c r="Z12"/>
      <c r="AA12"/>
      <c r="AB12"/>
      <c r="AC12" s="134"/>
      <c r="AD12" s="136"/>
      <c r="AE12" s="136"/>
      <c r="AF12" s="25"/>
      <c r="AG12" s="25"/>
      <c r="AH12" s="25"/>
    </row>
    <row r="13" spans="1:34" s="189" customFormat="1" ht="12.75">
      <c r="A13" s="262">
        <v>9</v>
      </c>
      <c r="B13" s="189" t="s">
        <v>511</v>
      </c>
      <c r="C13" s="281">
        <v>2777.1</v>
      </c>
      <c r="D13" s="281">
        <v>2930.71</v>
      </c>
      <c r="E13" s="281">
        <v>3039.26</v>
      </c>
      <c r="F13" s="281">
        <v>3208.62</v>
      </c>
      <c r="G13" s="281">
        <v>3388.12</v>
      </c>
      <c r="H13" s="281">
        <v>3578.39</v>
      </c>
      <c r="I13" s="281">
        <v>2750.8</v>
      </c>
      <c r="J13" s="281">
        <v>2902.95</v>
      </c>
      <c r="K13" s="281">
        <v>3010.48</v>
      </c>
      <c r="L13" s="281">
        <v>3178.23</v>
      </c>
      <c r="M13" s="281">
        <v>3356.03</v>
      </c>
      <c r="N13" s="281">
        <v>3544.5</v>
      </c>
      <c r="Q13"/>
      <c r="R13"/>
      <c r="S13"/>
      <c r="T13"/>
      <c r="U13"/>
      <c r="V13"/>
      <c r="W13"/>
      <c r="X13"/>
      <c r="Y13"/>
      <c r="Z13"/>
      <c r="AA13"/>
      <c r="AB13"/>
      <c r="AC13" s="134"/>
      <c r="AD13" s="136"/>
      <c r="AE13" s="136"/>
      <c r="AF13" s="25"/>
      <c r="AG13" s="25"/>
      <c r="AH13" s="25"/>
    </row>
    <row r="14" spans="1:34" s="189" customFormat="1" ht="12.75">
      <c r="A14" s="262">
        <v>10</v>
      </c>
      <c r="B14" s="189" t="s">
        <v>512</v>
      </c>
      <c r="C14" s="291">
        <v>2712.08</v>
      </c>
      <c r="D14" s="281">
        <v>2862.1</v>
      </c>
      <c r="E14" s="281">
        <v>2968.12</v>
      </c>
      <c r="F14" s="281">
        <v>3133.5</v>
      </c>
      <c r="G14" s="281">
        <v>3308.8</v>
      </c>
      <c r="H14" s="281">
        <v>3494.62</v>
      </c>
      <c r="I14" s="291">
        <v>2686.31</v>
      </c>
      <c r="J14" s="281">
        <v>2834.92</v>
      </c>
      <c r="K14" s="281">
        <v>2939.92</v>
      </c>
      <c r="L14" s="281">
        <v>3103.73</v>
      </c>
      <c r="M14" s="281">
        <v>3277.37</v>
      </c>
      <c r="N14" s="281">
        <v>3461.42</v>
      </c>
      <c r="Q14"/>
      <c r="R14"/>
      <c r="S14"/>
      <c r="T14"/>
      <c r="U14"/>
      <c r="V14"/>
      <c r="W14"/>
      <c r="X14"/>
      <c r="Y14"/>
      <c r="Z14"/>
      <c r="AA14"/>
      <c r="AB14"/>
      <c r="AC14" s="134"/>
      <c r="AD14" s="136"/>
      <c r="AE14" s="136"/>
      <c r="AF14" s="25"/>
      <c r="AG14" s="25"/>
      <c r="AH14" s="25"/>
    </row>
    <row r="15" spans="3:34" s="189" customFormat="1" ht="12.75"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Q15"/>
      <c r="R15"/>
      <c r="S15"/>
      <c r="T15"/>
      <c r="U15"/>
      <c r="V15"/>
      <c r="W15"/>
      <c r="X15"/>
      <c r="Y15"/>
      <c r="Z15"/>
      <c r="AA15"/>
      <c r="AB15"/>
      <c r="AC15" s="134"/>
      <c r="AD15" s="136"/>
      <c r="AE15" s="136"/>
      <c r="AF15" s="25"/>
      <c r="AG15" s="25"/>
      <c r="AH15" s="25"/>
    </row>
    <row r="16" spans="3:34" s="189" customFormat="1" ht="12.75"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Q16"/>
      <c r="R16"/>
      <c r="S16"/>
      <c r="T16"/>
      <c r="U16"/>
      <c r="V16"/>
      <c r="W16"/>
      <c r="X16"/>
      <c r="Y16"/>
      <c r="Z16"/>
      <c r="AA16"/>
      <c r="AB16"/>
      <c r="AC16" s="134"/>
      <c r="AD16" s="136"/>
      <c r="AE16" s="136"/>
      <c r="AF16" s="25"/>
      <c r="AG16" s="25"/>
      <c r="AH16" s="25"/>
    </row>
    <row r="17" spans="3:11" s="189" customFormat="1" ht="13.5" thickBot="1">
      <c r="C17" s="322"/>
      <c r="D17" s="301"/>
      <c r="E17" s="301"/>
      <c r="F17" s="301"/>
      <c r="G17" s="301"/>
      <c r="H17" s="301"/>
      <c r="I17" s="301"/>
      <c r="J17" s="301"/>
      <c r="K17" s="301"/>
    </row>
    <row r="18" spans="1:11" s="189" customFormat="1" ht="87" customHeight="1" thickBot="1">
      <c r="A18" s="26">
        <v>1</v>
      </c>
      <c r="B18" s="25" t="s">
        <v>0</v>
      </c>
      <c r="C18" s="319"/>
      <c r="D18" s="319"/>
      <c r="E18" s="319"/>
      <c r="F18" s="319"/>
      <c r="G18" s="319"/>
      <c r="H18" s="319"/>
      <c r="I18" s="319"/>
      <c r="J18" s="319"/>
      <c r="K18" s="319"/>
    </row>
    <row r="19" spans="1:11" s="189" customFormat="1" ht="12.75">
      <c r="A19" s="25">
        <v>1</v>
      </c>
      <c r="B19" s="25" t="s">
        <v>2</v>
      </c>
      <c r="C19" s="290"/>
      <c r="D19" s="281"/>
      <c r="E19" s="281"/>
      <c r="F19" s="281"/>
      <c r="G19" s="281"/>
      <c r="H19" s="281"/>
      <c r="I19" s="281"/>
      <c r="J19" s="281"/>
      <c r="K19" s="281"/>
    </row>
    <row r="20" spans="1:11" s="189" customFormat="1" ht="12.75">
      <c r="A20" s="25">
        <v>2</v>
      </c>
      <c r="B20" s="25" t="s">
        <v>3</v>
      </c>
      <c r="C20" s="290"/>
      <c r="D20" s="281"/>
      <c r="E20" s="281"/>
      <c r="F20" s="281"/>
      <c r="G20" s="281"/>
      <c r="H20" s="281"/>
      <c r="I20" s="281"/>
      <c r="J20" s="281"/>
      <c r="K20" s="281"/>
    </row>
    <row r="21" spans="3:11" s="189" customFormat="1" ht="12.75">
      <c r="C21" s="310"/>
      <c r="D21" s="281"/>
      <c r="E21" s="281"/>
      <c r="F21" s="281"/>
      <c r="G21" s="281"/>
      <c r="H21" s="281"/>
      <c r="I21" s="281"/>
      <c r="J21" s="281"/>
      <c r="K21" s="281"/>
    </row>
    <row r="22" s="189" customFormat="1" ht="12.75"/>
    <row r="23" spans="1:2" s="189" customFormat="1" ht="12.75">
      <c r="A23" s="132">
        <v>1</v>
      </c>
      <c r="B23" s="25" t="s">
        <v>297</v>
      </c>
    </row>
    <row r="24" spans="1:2" s="189" customFormat="1" ht="12.75">
      <c r="A24" s="189">
        <v>1</v>
      </c>
      <c r="B24" s="25" t="s">
        <v>160</v>
      </c>
    </row>
    <row r="25" spans="1:2" s="189" customFormat="1" ht="12.75">
      <c r="A25" s="189">
        <v>2</v>
      </c>
      <c r="B25" s="25" t="s">
        <v>154</v>
      </c>
    </row>
    <row r="26" spans="1:2" s="189" customFormat="1" ht="12.75">
      <c r="A26" s="189">
        <v>3</v>
      </c>
      <c r="B26" s="25" t="s">
        <v>155</v>
      </c>
    </row>
    <row r="27" spans="1:2" s="189" customFormat="1" ht="12.75">
      <c r="A27" s="189">
        <v>4</v>
      </c>
      <c r="B27" s="25" t="s">
        <v>156</v>
      </c>
    </row>
    <row r="28" spans="1:2" s="189" customFormat="1" ht="12.75">
      <c r="A28" s="189">
        <v>5</v>
      </c>
      <c r="B28" s="25" t="s">
        <v>157</v>
      </c>
    </row>
    <row r="29" spans="1:2" s="228" customFormat="1" ht="12.75">
      <c r="A29" s="189">
        <v>6</v>
      </c>
      <c r="B29" s="25" t="s">
        <v>158</v>
      </c>
    </row>
    <row r="32" ht="16.5">
      <c r="A32" s="128" t="s">
        <v>296</v>
      </c>
    </row>
    <row r="33" ht="13.5" thickBot="1"/>
    <row r="34" spans="1:26" ht="13.5" thickBot="1">
      <c r="A34" s="151">
        <v>1</v>
      </c>
      <c r="B34" s="189" t="s">
        <v>231</v>
      </c>
      <c r="C34" s="137" t="s">
        <v>227</v>
      </c>
      <c r="D34" s="137" t="s">
        <v>154</v>
      </c>
      <c r="E34" s="137" t="s">
        <v>156</v>
      </c>
      <c r="F34" s="137" t="s">
        <v>157</v>
      </c>
      <c r="G34" s="137" t="s">
        <v>158</v>
      </c>
      <c r="O34" s="1"/>
      <c r="P34" s="3"/>
      <c r="Q34" s="1"/>
      <c r="Z34" s="1"/>
    </row>
    <row r="35" spans="1:26" ht="12.75">
      <c r="A35" s="189">
        <v>1</v>
      </c>
      <c r="B35" s="189" t="s">
        <v>193</v>
      </c>
      <c r="C35" s="316">
        <v>3781.76</v>
      </c>
      <c r="D35" s="316">
        <v>3970.85</v>
      </c>
      <c r="E35" s="316">
        <v>4169.39</v>
      </c>
      <c r="F35" s="316">
        <v>4377.87</v>
      </c>
      <c r="G35" s="316">
        <v>4552.99</v>
      </c>
      <c r="O35" s="1"/>
      <c r="P35" s="1"/>
      <c r="Z35" s="1"/>
    </row>
    <row r="36" spans="1:26" ht="12.75">
      <c r="A36" s="189">
        <v>2</v>
      </c>
      <c r="B36" s="189" t="s">
        <v>194</v>
      </c>
      <c r="C36" s="316">
        <v>3557.45</v>
      </c>
      <c r="D36" s="316">
        <v>3735.32</v>
      </c>
      <c r="E36" s="316">
        <v>3922.08</v>
      </c>
      <c r="F36" s="316">
        <v>4118.18</v>
      </c>
      <c r="G36" s="316">
        <v>4282.93</v>
      </c>
      <c r="O36" s="1"/>
      <c r="P36" s="3"/>
      <c r="Z36" s="1"/>
    </row>
    <row r="37" spans="1:26" ht="12.75">
      <c r="A37" s="189">
        <v>3</v>
      </c>
      <c r="B37" s="189" t="s">
        <v>195</v>
      </c>
      <c r="C37" s="316">
        <v>3089.18</v>
      </c>
      <c r="D37" s="316">
        <v>3243.63</v>
      </c>
      <c r="E37" s="316">
        <v>3405.81</v>
      </c>
      <c r="F37" s="316">
        <v>3576.1</v>
      </c>
      <c r="G37" s="316">
        <v>3719.14</v>
      </c>
      <c r="O37" s="1"/>
      <c r="P37" s="1"/>
      <c r="Z37" s="1"/>
    </row>
    <row r="38" spans="1:26" ht="12.75">
      <c r="A38" s="189">
        <v>4</v>
      </c>
      <c r="B38" s="189" t="s">
        <v>196</v>
      </c>
      <c r="C38" s="316">
        <v>2860.07</v>
      </c>
      <c r="D38" s="316">
        <v>3003.08</v>
      </c>
      <c r="E38" s="316">
        <v>3153.24</v>
      </c>
      <c r="F38" s="316">
        <v>3310.91</v>
      </c>
      <c r="G38" s="316">
        <v>3443.34</v>
      </c>
      <c r="O38" s="1"/>
      <c r="P38" s="1"/>
      <c r="Z38" s="1"/>
    </row>
    <row r="39" spans="2:29" ht="12.75">
      <c r="B39" s="1"/>
      <c r="O39" s="1"/>
      <c r="P39" s="25"/>
      <c r="Q39" s="25"/>
      <c r="R39" s="25"/>
      <c r="S39" s="25"/>
      <c r="T39" s="132"/>
      <c r="U39" s="25"/>
      <c r="V39" s="25"/>
      <c r="W39" s="199"/>
      <c r="X39" s="199"/>
      <c r="Y39" s="199"/>
      <c r="Z39" s="199"/>
      <c r="AA39" s="25"/>
      <c r="AB39" s="189"/>
      <c r="AC39" s="189"/>
    </row>
    <row r="40" spans="1:29" ht="12.75">
      <c r="A40" s="10"/>
      <c r="B40" s="1"/>
      <c r="O40" s="1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189"/>
      <c r="AC40" s="189"/>
    </row>
    <row r="41" spans="1:29" ht="12.75">
      <c r="A41" s="10"/>
      <c r="B41" s="1"/>
      <c r="O41" s="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189"/>
      <c r="AC41" s="189"/>
    </row>
    <row r="42" spans="1:29" ht="12.75">
      <c r="A42" s="132">
        <v>1</v>
      </c>
      <c r="B42" s="25" t="s">
        <v>297</v>
      </c>
      <c r="O42" s="1"/>
      <c r="P42" s="134"/>
      <c r="Q42" s="25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89"/>
      <c r="AC42" s="189"/>
    </row>
    <row r="43" spans="1:29" ht="12.75">
      <c r="A43" s="25">
        <v>1</v>
      </c>
      <c r="B43" s="25" t="s">
        <v>160</v>
      </c>
      <c r="O43" s="1"/>
      <c r="P43" s="134"/>
      <c r="Q43" s="25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89"/>
      <c r="AC43" s="189"/>
    </row>
    <row r="44" spans="1:29" ht="12.75">
      <c r="A44">
        <v>2</v>
      </c>
      <c r="B44" s="25" t="s">
        <v>154</v>
      </c>
      <c r="O44" s="1"/>
      <c r="P44" s="134"/>
      <c r="Q44" s="25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89"/>
      <c r="AC44" s="189"/>
    </row>
    <row r="45" spans="1:29" ht="12.75">
      <c r="A45" s="25">
        <v>3</v>
      </c>
      <c r="B45" s="25" t="s">
        <v>156</v>
      </c>
      <c r="O45" s="1"/>
      <c r="P45" s="134"/>
      <c r="Q45" s="25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89"/>
      <c r="AC45" s="189"/>
    </row>
    <row r="46" spans="1:29" ht="12.75">
      <c r="A46">
        <v>4</v>
      </c>
      <c r="B46" s="25" t="s">
        <v>157</v>
      </c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</row>
    <row r="47" spans="1:29" ht="12.75">
      <c r="A47" s="25">
        <v>5</v>
      </c>
      <c r="B47" s="25" t="s">
        <v>158</v>
      </c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</row>
    <row r="48" spans="16:29" ht="12.75"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</row>
    <row r="49" spans="1:29" ht="15">
      <c r="A49" s="272"/>
      <c r="B49" s="1"/>
      <c r="C49" s="272"/>
      <c r="D49" s="310" t="s">
        <v>696</v>
      </c>
      <c r="E49" s="270" t="s">
        <v>227</v>
      </c>
      <c r="F49" s="310" t="s">
        <v>697</v>
      </c>
      <c r="G49" s="271" t="s">
        <v>154</v>
      </c>
      <c r="H49" s="271" t="s">
        <v>156</v>
      </c>
      <c r="I49" s="272" t="s">
        <v>156</v>
      </c>
      <c r="J49" s="281" t="s">
        <v>157</v>
      </c>
      <c r="K49" s="281" t="s">
        <v>157</v>
      </c>
      <c r="L49" s="281" t="s">
        <v>158</v>
      </c>
      <c r="M49" s="283" t="s">
        <v>158</v>
      </c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</row>
    <row r="50" spans="1:13" ht="15">
      <c r="A50" s="272"/>
      <c r="B50" s="1"/>
      <c r="C50" s="272"/>
      <c r="D50" s="320" t="s">
        <v>672</v>
      </c>
      <c r="E50" s="306" t="s">
        <v>673</v>
      </c>
      <c r="F50" s="310"/>
      <c r="G50" s="271"/>
      <c r="H50" s="271"/>
      <c r="I50" s="325"/>
      <c r="J50" s="136"/>
      <c r="K50" s="136"/>
      <c r="L50" s="136"/>
      <c r="M50" s="136"/>
    </row>
    <row r="51" spans="1:13" ht="15" customHeight="1">
      <c r="A51" s="272" t="s">
        <v>230</v>
      </c>
      <c r="B51" s="134">
        <v>43004004</v>
      </c>
      <c r="C51" s="324" t="s">
        <v>671</v>
      </c>
      <c r="D51" s="316">
        <v>3781.76</v>
      </c>
      <c r="E51" s="316">
        <v>4440.16</v>
      </c>
      <c r="F51" s="316">
        <v>3970.85</v>
      </c>
      <c r="G51" s="316">
        <v>4629.27</v>
      </c>
      <c r="H51" s="316">
        <v>4169.39</v>
      </c>
      <c r="I51" s="316">
        <v>4827.82</v>
      </c>
      <c r="J51" s="316">
        <v>4377.87</v>
      </c>
      <c r="K51" s="316">
        <v>5036.26</v>
      </c>
      <c r="L51" s="316">
        <v>4552.99</v>
      </c>
      <c r="M51" s="316">
        <v>5211.4</v>
      </c>
    </row>
    <row r="52" spans="1:13" ht="15" customHeight="1">
      <c r="A52" s="272" t="s">
        <v>230</v>
      </c>
      <c r="B52" s="134">
        <v>43004005</v>
      </c>
      <c r="C52" s="293" t="s">
        <v>674</v>
      </c>
      <c r="D52" s="316">
        <v>3557.45</v>
      </c>
      <c r="E52" s="316">
        <v>4077.87</v>
      </c>
      <c r="F52" s="316">
        <v>3735.32</v>
      </c>
      <c r="G52" s="316">
        <v>4255.74</v>
      </c>
      <c r="H52" s="316">
        <v>3922.08</v>
      </c>
      <c r="I52" s="316">
        <v>4442.5</v>
      </c>
      <c r="J52" s="316">
        <v>4118.18</v>
      </c>
      <c r="K52" s="316">
        <v>4638.59</v>
      </c>
      <c r="L52" s="316">
        <v>4282.93</v>
      </c>
      <c r="M52" s="316">
        <v>4803.34</v>
      </c>
    </row>
    <row r="53" spans="1:13" ht="15" customHeight="1">
      <c r="A53" s="272" t="s">
        <v>230</v>
      </c>
      <c r="B53" s="134">
        <v>43004006</v>
      </c>
      <c r="C53" s="324" t="s">
        <v>675</v>
      </c>
      <c r="D53" s="316">
        <v>3089.18</v>
      </c>
      <c r="E53" s="316">
        <v>3543.66</v>
      </c>
      <c r="F53" s="316">
        <v>3243.63</v>
      </c>
      <c r="G53" s="316">
        <v>3698.1</v>
      </c>
      <c r="H53" s="316">
        <v>3405.81</v>
      </c>
      <c r="I53" s="316">
        <v>3860.3</v>
      </c>
      <c r="J53" s="316">
        <v>3576.1</v>
      </c>
      <c r="K53" s="316">
        <v>4030.57</v>
      </c>
      <c r="L53" s="316">
        <v>3719.14</v>
      </c>
      <c r="M53" s="316">
        <v>4173.62</v>
      </c>
    </row>
    <row r="54" spans="1:13" ht="15" customHeight="1">
      <c r="A54" s="272" t="s">
        <v>230</v>
      </c>
      <c r="B54" s="134">
        <v>43004007</v>
      </c>
      <c r="C54" s="302" t="s">
        <v>676</v>
      </c>
      <c r="D54" s="316">
        <v>2860.07</v>
      </c>
      <c r="E54" s="316">
        <v>3226.78</v>
      </c>
      <c r="F54" s="316">
        <v>3003.08</v>
      </c>
      <c r="G54" s="316">
        <v>3369.78</v>
      </c>
      <c r="H54" s="316">
        <v>3153.24</v>
      </c>
      <c r="I54" s="316">
        <v>3519.96</v>
      </c>
      <c r="J54" s="316">
        <v>3310.91</v>
      </c>
      <c r="K54" s="316">
        <v>3677.59</v>
      </c>
      <c r="L54" s="316">
        <v>3443.34</v>
      </c>
      <c r="M54" s="316">
        <v>3810.04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L28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7109375" style="1" customWidth="1"/>
    <col min="2" max="2" width="58.421875" style="1" customWidth="1"/>
    <col min="3" max="3" width="13.8515625" style="0" customWidth="1"/>
    <col min="7" max="7" width="11.140625" style="0" bestFit="1" customWidth="1"/>
    <col min="8" max="8" width="12.00390625" style="0" bestFit="1" customWidth="1"/>
    <col min="9" max="9" width="14.8515625" style="0" customWidth="1"/>
  </cols>
  <sheetData>
    <row r="1" spans="1:3" ht="12.75">
      <c r="A1" s="1" t="s">
        <v>137</v>
      </c>
      <c r="B1" s="3" t="s">
        <v>135</v>
      </c>
      <c r="C1" t="s">
        <v>166</v>
      </c>
    </row>
    <row r="2" spans="1:3" ht="12.75">
      <c r="A2" s="1">
        <f>IF(KÄYTTÖTAULU!F6=0,0,IF(KÄYTTÖTAULU!$F$6&lt;KÄYTTÖTAULU!$G$19,1,0))</f>
        <v>0</v>
      </c>
      <c r="B2" s="1" t="s">
        <v>134</v>
      </c>
      <c r="C2" t="str">
        <f>IF(A2=1,B2," ")</f>
        <v> </v>
      </c>
    </row>
    <row r="3" spans="1:3" ht="12.75">
      <c r="A3" s="1">
        <f>IF(A4=1,0,IF(KÄYTTÖTAULU!$B$13&gt;VLOOKUP(virheet!A10,laskenta!$A$6:$D$179,2+'muut muuttujat'!A3,FALSE),1,0))</f>
        <v>0</v>
      </c>
      <c r="B3" s="1" t="s">
        <v>215</v>
      </c>
      <c r="C3" t="str">
        <f>IF(A3=1,B3," ")</f>
        <v> </v>
      </c>
    </row>
    <row r="4" spans="1:3" ht="12.75">
      <c r="A4" s="1">
        <f>VLOOKUP(A10,$A$12:$E$184,5,FALSE)</f>
        <v>0</v>
      </c>
      <c r="B4" s="1" t="s">
        <v>216</v>
      </c>
      <c r="C4" t="str">
        <f>IF(A4=1,B4," ")</f>
        <v> </v>
      </c>
    </row>
    <row r="5" spans="1:3" ht="12.75">
      <c r="A5" s="1">
        <f>IF(KÄYTTÖTAULU!B13=0,0,IF(A4=1,0,IF(COUNTA(KÄYTTÖTAULU!B13)+'muut muuttujat'!G3=2,1,0)))</f>
        <v>0</v>
      </c>
      <c r="B5" s="1" t="s">
        <v>139</v>
      </c>
      <c r="C5" t="str">
        <f>IF(A5=1,B5," ")</f>
        <v> </v>
      </c>
    </row>
    <row r="6" spans="1:2" ht="12.75">
      <c r="A6" s="1">
        <f>SUM(A2:A5)</f>
        <v>0</v>
      </c>
      <c r="B6" s="1" t="s">
        <v>140</v>
      </c>
    </row>
    <row r="7" spans="1:3" ht="15.75">
      <c r="A7" s="89">
        <f>IF(KÄYTTÖTAULU!F6&gt;0,0,1)+IF(KÄYTTÖTAULU!I8&gt;0,0,1)+IF(COUNTA(KÄYTTÖTAULU!I14),0,1)+IF(COUNTA(KÄYTTÖTAULU!I16)&gt;0,0,1)+IF(COUNTA(KÄYTTÖTAULU!K13)&gt;0,0,1)+A6</f>
        <v>5</v>
      </c>
      <c r="B7" s="88" t="s">
        <v>167</v>
      </c>
      <c r="C7" t="str">
        <f>IF(A7=0,B7," ")</f>
        <v> </v>
      </c>
    </row>
    <row r="8" ht="51" customHeight="1"/>
    <row r="9" ht="13.5" thickBot="1">
      <c r="A9" s="1" t="s">
        <v>25</v>
      </c>
    </row>
    <row r="10" spans="1:10" ht="13.5" thickBot="1">
      <c r="A10" s="23">
        <f>laskenta!A4</f>
        <v>1</v>
      </c>
      <c r="B10" s="8" t="s">
        <v>1</v>
      </c>
      <c r="F10">
        <f>VLOOKUP(A10,$A$12:$F$185,6,FALSE)</f>
        <v>0</v>
      </c>
      <c r="G10">
        <f>VLOOKUP(A10,$A$12:$G$185,7,FALSE)</f>
        <v>0</v>
      </c>
      <c r="H10">
        <f>VLOOKUP($A$10,$A$12:$H$185,8,FALSE)</f>
        <v>0</v>
      </c>
      <c r="I10">
        <f>VLOOKUP($A$10,$A$12:$I$185,9,FALSE)</f>
        <v>0</v>
      </c>
      <c r="J10">
        <f>VLOOKUP($A$10,$A$12:$J$185,10,FALSE)</f>
        <v>0</v>
      </c>
    </row>
    <row r="11" spans="2:10" ht="12.75">
      <c r="B11" s="3" t="s">
        <v>4</v>
      </c>
      <c r="C11" t="s">
        <v>136</v>
      </c>
      <c r="D11" t="s">
        <v>133</v>
      </c>
      <c r="E11" t="s">
        <v>137</v>
      </c>
      <c r="F11" t="s">
        <v>212</v>
      </c>
      <c r="G11" t="s">
        <v>213</v>
      </c>
      <c r="H11" t="s">
        <v>214</v>
      </c>
      <c r="I11" t="s">
        <v>291</v>
      </c>
      <c r="J11" t="s">
        <v>294</v>
      </c>
    </row>
    <row r="12" spans="1:12" ht="12.75">
      <c r="A12" s="1">
        <v>1</v>
      </c>
      <c r="B12" s="10" t="s">
        <v>173</v>
      </c>
      <c r="C12">
        <f>IF('muut muuttujat'!$G$3=2,1,0)</f>
        <v>0</v>
      </c>
      <c r="E12">
        <f aca="true" t="shared" si="0" ref="E12:E78">IF(C12+D12&gt;1,1,0)</f>
        <v>0</v>
      </c>
      <c r="F12" s="10"/>
      <c r="K12" s="1"/>
      <c r="L12" s="10"/>
    </row>
    <row r="13" spans="1:12" ht="12.75">
      <c r="A13" s="1">
        <v>2</v>
      </c>
      <c r="B13" s="10" t="s">
        <v>174</v>
      </c>
      <c r="C13">
        <f>IF('muut muuttujat'!$G$3=2,1,0)</f>
        <v>0</v>
      </c>
      <c r="E13">
        <f t="shared" si="0"/>
        <v>0</v>
      </c>
      <c r="F13" s="10"/>
      <c r="K13" s="1"/>
      <c r="L13" s="10"/>
    </row>
    <row r="14" spans="1:12" ht="12.75">
      <c r="A14" s="1">
        <v>3</v>
      </c>
      <c r="B14" s="10" t="s">
        <v>523</v>
      </c>
      <c r="C14">
        <f>IF('muut muuttujat'!$G$3=2,1,0)</f>
        <v>0</v>
      </c>
      <c r="E14">
        <f t="shared" si="0"/>
        <v>0</v>
      </c>
      <c r="F14" s="10"/>
      <c r="K14" s="1"/>
      <c r="L14" s="10"/>
    </row>
    <row r="15" spans="1:12" ht="12.75">
      <c r="A15" s="1">
        <v>4</v>
      </c>
      <c r="B15" s="10" t="s">
        <v>522</v>
      </c>
      <c r="C15">
        <v>0</v>
      </c>
      <c r="E15">
        <v>0</v>
      </c>
      <c r="F15" s="10"/>
      <c r="K15" s="1"/>
      <c r="L15" s="10"/>
    </row>
    <row r="16" spans="1:12" ht="12.75">
      <c r="A16" s="1">
        <v>5</v>
      </c>
      <c r="B16" s="10" t="s">
        <v>175</v>
      </c>
      <c r="C16">
        <f>IF('muut muuttujat'!$G$3=2,1,0)</f>
        <v>0</v>
      </c>
      <c r="E16">
        <f t="shared" si="0"/>
        <v>0</v>
      </c>
      <c r="F16" s="10"/>
      <c r="K16" s="1"/>
      <c r="L16" s="10"/>
    </row>
    <row r="17" spans="1:12" ht="12.75">
      <c r="A17" s="1">
        <v>6</v>
      </c>
      <c r="B17" s="10" t="s">
        <v>176</v>
      </c>
      <c r="C17">
        <f>IF('muut muuttujat'!$G$3=2,1,0)</f>
        <v>0</v>
      </c>
      <c r="E17">
        <f t="shared" si="0"/>
        <v>0</v>
      </c>
      <c r="F17" s="10"/>
      <c r="K17" s="1"/>
      <c r="L17" s="10"/>
    </row>
    <row r="18" spans="1:12" ht="12.75">
      <c r="A18" s="1">
        <v>7</v>
      </c>
      <c r="B18" s="10" t="s">
        <v>177</v>
      </c>
      <c r="C18">
        <f>IF('muut muuttujat'!$G$3=2,1,0)</f>
        <v>0</v>
      </c>
      <c r="E18">
        <f t="shared" si="0"/>
        <v>0</v>
      </c>
      <c r="F18" s="10"/>
      <c r="K18" s="1"/>
      <c r="L18" s="10"/>
    </row>
    <row r="19" spans="1:12" ht="12.75">
      <c r="A19" s="1">
        <v>8</v>
      </c>
      <c r="B19" s="10" t="s">
        <v>525</v>
      </c>
      <c r="C19">
        <f>IF('muut muuttujat'!$G$3=2,1,0)</f>
        <v>0</v>
      </c>
      <c r="E19">
        <f t="shared" si="0"/>
        <v>0</v>
      </c>
      <c r="F19" s="10"/>
      <c r="K19" s="1"/>
      <c r="L19" s="10"/>
    </row>
    <row r="20" spans="1:12" ht="12.75">
      <c r="A20" s="1">
        <v>9</v>
      </c>
      <c r="B20" s="10" t="s">
        <v>524</v>
      </c>
      <c r="C20">
        <v>0</v>
      </c>
      <c r="E20">
        <v>0</v>
      </c>
      <c r="F20" s="10"/>
      <c r="K20" s="1"/>
      <c r="L20" s="10"/>
    </row>
    <row r="21" spans="1:12" ht="12.75">
      <c r="A21" s="1">
        <v>10</v>
      </c>
      <c r="B21" s="10" t="s">
        <v>178</v>
      </c>
      <c r="C21">
        <f>IF('muut muuttujat'!$G$3=2,1,0)</f>
        <v>0</v>
      </c>
      <c r="E21">
        <f t="shared" si="0"/>
        <v>0</v>
      </c>
      <c r="F21" s="10"/>
      <c r="K21" s="1"/>
      <c r="L21" s="10"/>
    </row>
    <row r="22" spans="1:12" ht="12.75">
      <c r="A22" s="1">
        <v>11</v>
      </c>
      <c r="B22" s="10" t="s">
        <v>179</v>
      </c>
      <c r="C22">
        <f>IF('muut muuttujat'!$G$3=2,1,0)</f>
        <v>0</v>
      </c>
      <c r="E22">
        <f t="shared" si="0"/>
        <v>0</v>
      </c>
      <c r="F22" s="10"/>
      <c r="K22" s="1"/>
      <c r="L22" s="10"/>
    </row>
    <row r="23" spans="1:12" ht="12.75">
      <c r="A23" s="1">
        <v>12</v>
      </c>
      <c r="B23" s="10" t="s">
        <v>180</v>
      </c>
      <c r="C23">
        <f>IF('muut muuttujat'!$G$3=2,1,0)</f>
        <v>0</v>
      </c>
      <c r="E23">
        <f t="shared" si="0"/>
        <v>0</v>
      </c>
      <c r="F23" s="10"/>
      <c r="K23" s="1"/>
      <c r="L23" s="10"/>
    </row>
    <row r="24" spans="1:12" ht="12.75">
      <c r="A24" s="1">
        <v>13</v>
      </c>
      <c r="B24" s="10" t="s">
        <v>181</v>
      </c>
      <c r="C24">
        <f>IF('muut muuttujat'!$G$3=2,1,0)</f>
        <v>0</v>
      </c>
      <c r="E24">
        <f t="shared" si="0"/>
        <v>0</v>
      </c>
      <c r="F24" s="10"/>
      <c r="K24" s="1"/>
      <c r="L24" s="10"/>
    </row>
    <row r="25" spans="1:12" ht="12.75">
      <c r="A25" s="1">
        <v>14</v>
      </c>
      <c r="B25" s="10" t="s">
        <v>182</v>
      </c>
      <c r="C25">
        <f>IF('muut muuttujat'!$G$3=2,1,0)</f>
        <v>0</v>
      </c>
      <c r="E25">
        <f t="shared" si="0"/>
        <v>0</v>
      </c>
      <c r="F25" s="10"/>
      <c r="G25">
        <v>1</v>
      </c>
      <c r="K25" s="1"/>
      <c r="L25" s="10"/>
    </row>
    <row r="26" spans="1:12" ht="12.75">
      <c r="A26" s="1">
        <v>15</v>
      </c>
      <c r="B26" s="10" t="s">
        <v>183</v>
      </c>
      <c r="C26">
        <f>IF('muut muuttujat'!$G$3=2,1,0)</f>
        <v>0</v>
      </c>
      <c r="E26">
        <f t="shared" si="0"/>
        <v>0</v>
      </c>
      <c r="F26" s="10"/>
      <c r="G26">
        <v>1</v>
      </c>
      <c r="K26" s="1"/>
      <c r="L26" s="10"/>
    </row>
    <row r="27" spans="1:12" ht="12.75">
      <c r="A27" s="1">
        <v>16</v>
      </c>
      <c r="B27" s="10" t="s">
        <v>184</v>
      </c>
      <c r="C27">
        <f>IF('muut muuttujat'!$G$3=2,1,0)</f>
        <v>0</v>
      </c>
      <c r="D27">
        <v>1</v>
      </c>
      <c r="E27">
        <f t="shared" si="0"/>
        <v>0</v>
      </c>
      <c r="F27" s="10"/>
      <c r="K27" s="1"/>
      <c r="L27" s="10"/>
    </row>
    <row r="28" spans="1:12" ht="12.75">
      <c r="A28" s="1">
        <v>17</v>
      </c>
      <c r="B28" s="10" t="s">
        <v>185</v>
      </c>
      <c r="C28">
        <f>IF('muut muuttujat'!$G$3=2,1,0)</f>
        <v>0</v>
      </c>
      <c r="D28">
        <v>1</v>
      </c>
      <c r="E28">
        <f t="shared" si="0"/>
        <v>0</v>
      </c>
      <c r="F28" s="10"/>
      <c r="K28" s="1"/>
      <c r="L28" s="10"/>
    </row>
    <row r="29" spans="1:12" ht="12.75">
      <c r="A29" s="1">
        <v>18</v>
      </c>
      <c r="B29" s="10" t="s">
        <v>186</v>
      </c>
      <c r="C29">
        <f>IF('muut muuttujat'!$G$3=2,1,0)</f>
        <v>0</v>
      </c>
      <c r="D29">
        <v>1</v>
      </c>
      <c r="E29">
        <f t="shared" si="0"/>
        <v>0</v>
      </c>
      <c r="F29" s="10"/>
      <c r="K29" s="1"/>
      <c r="L29" s="10"/>
    </row>
    <row r="30" spans="1:12" ht="12.75">
      <c r="A30" s="1">
        <v>19</v>
      </c>
      <c r="B30" s="10" t="s">
        <v>187</v>
      </c>
      <c r="C30">
        <f>IF('muut muuttujat'!$G$3=2,1,0)</f>
        <v>0</v>
      </c>
      <c r="E30">
        <f t="shared" si="0"/>
        <v>0</v>
      </c>
      <c r="F30" s="10"/>
      <c r="G30">
        <v>1</v>
      </c>
      <c r="K30" s="1"/>
      <c r="L30" s="10"/>
    </row>
    <row r="31" spans="1:12" ht="12.75">
      <c r="A31" s="1">
        <v>20</v>
      </c>
      <c r="B31" s="10" t="s">
        <v>526</v>
      </c>
      <c r="C31">
        <f>IF('muut muuttujat'!$G$3=2,1,0)</f>
        <v>0</v>
      </c>
      <c r="D31">
        <v>1</v>
      </c>
      <c r="E31">
        <f>IF(C31+D31&gt;1,1,0)</f>
        <v>0</v>
      </c>
      <c r="F31" s="10"/>
      <c r="K31" s="1"/>
      <c r="L31" s="10"/>
    </row>
    <row r="32" spans="1:12" ht="12.75">
      <c r="A32" s="1">
        <v>21</v>
      </c>
      <c r="B32" s="10" t="s">
        <v>527</v>
      </c>
      <c r="C32">
        <f>IF('muut muuttujat'!$G$3=2,1,0)</f>
        <v>0</v>
      </c>
      <c r="E32">
        <f>IF(C32+D32&gt;1,1,0)</f>
        <v>0</v>
      </c>
      <c r="F32" s="10"/>
      <c r="G32">
        <v>1</v>
      </c>
      <c r="K32" s="1"/>
      <c r="L32" s="10"/>
    </row>
    <row r="33" spans="1:12" ht="12.75">
      <c r="A33" s="1">
        <v>22</v>
      </c>
      <c r="B33" s="10" t="s">
        <v>37</v>
      </c>
      <c r="C33">
        <f>IF('muut muuttujat'!$G$3=2,1,0)</f>
        <v>0</v>
      </c>
      <c r="D33">
        <v>1</v>
      </c>
      <c r="E33">
        <f t="shared" si="0"/>
        <v>0</v>
      </c>
      <c r="F33" s="10">
        <v>1</v>
      </c>
      <c r="K33" s="1"/>
      <c r="L33" s="10"/>
    </row>
    <row r="34" spans="1:12" ht="12.75">
      <c r="A34" s="1">
        <v>23</v>
      </c>
      <c r="B34" s="10" t="s">
        <v>38</v>
      </c>
      <c r="C34">
        <f>IF('muut muuttujat'!$G$3=2,1,0)</f>
        <v>0</v>
      </c>
      <c r="D34">
        <v>1</v>
      </c>
      <c r="E34">
        <f t="shared" si="0"/>
        <v>0</v>
      </c>
      <c r="F34" s="10">
        <v>1</v>
      </c>
      <c r="K34" s="1"/>
      <c r="L34" s="10"/>
    </row>
    <row r="35" spans="1:12" ht="12.75">
      <c r="A35" s="1">
        <v>24</v>
      </c>
      <c r="B35" s="10" t="s">
        <v>39</v>
      </c>
      <c r="C35">
        <f>IF('muut muuttujat'!$G$3=2,1,0)</f>
        <v>0</v>
      </c>
      <c r="D35">
        <v>1</v>
      </c>
      <c r="E35">
        <f t="shared" si="0"/>
        <v>0</v>
      </c>
      <c r="F35" s="10">
        <v>1</v>
      </c>
      <c r="K35" s="1"/>
      <c r="L35" s="10"/>
    </row>
    <row r="36" spans="1:12" ht="12.75">
      <c r="A36" s="1">
        <v>25</v>
      </c>
      <c r="B36" s="10" t="s">
        <v>40</v>
      </c>
      <c r="C36">
        <f>IF('muut muuttujat'!$G$3=2,1,0)</f>
        <v>0</v>
      </c>
      <c r="D36">
        <v>1</v>
      </c>
      <c r="E36">
        <f t="shared" si="0"/>
        <v>0</v>
      </c>
      <c r="F36" s="10">
        <v>1</v>
      </c>
      <c r="K36" s="1"/>
      <c r="L36" s="10"/>
    </row>
    <row r="37" spans="1:12" ht="12.75">
      <c r="A37" s="1">
        <v>26</v>
      </c>
      <c r="B37" s="10" t="s">
        <v>41</v>
      </c>
      <c r="C37">
        <f>IF('muut muuttujat'!$G$3=2,1,0)</f>
        <v>0</v>
      </c>
      <c r="D37">
        <v>1</v>
      </c>
      <c r="E37">
        <f t="shared" si="0"/>
        <v>0</v>
      </c>
      <c r="F37" s="10">
        <v>1</v>
      </c>
      <c r="K37" s="1"/>
      <c r="L37" s="10"/>
    </row>
    <row r="38" spans="1:12" ht="12.75">
      <c r="A38" s="1">
        <v>27</v>
      </c>
      <c r="B38" s="10" t="s">
        <v>42</v>
      </c>
      <c r="C38">
        <f>IF('muut muuttujat'!$G$3=2,1,0)</f>
        <v>0</v>
      </c>
      <c r="D38">
        <v>1</v>
      </c>
      <c r="E38">
        <f t="shared" si="0"/>
        <v>0</v>
      </c>
      <c r="F38" s="10">
        <v>1</v>
      </c>
      <c r="K38" s="1"/>
      <c r="L38" s="10"/>
    </row>
    <row r="39" spans="1:12" ht="12.75">
      <c r="A39" s="1">
        <v>28</v>
      </c>
      <c r="B39" s="10" t="s">
        <v>44</v>
      </c>
      <c r="C39">
        <f>IF('muut muuttujat'!$G$3=2,1,0)</f>
        <v>0</v>
      </c>
      <c r="D39">
        <v>1</v>
      </c>
      <c r="E39">
        <f t="shared" si="0"/>
        <v>0</v>
      </c>
      <c r="F39" s="10">
        <v>1</v>
      </c>
      <c r="K39" s="1"/>
      <c r="L39" s="10"/>
    </row>
    <row r="40" spans="1:12" ht="12.75">
      <c r="A40" s="1">
        <v>29</v>
      </c>
      <c r="B40" s="10" t="s">
        <v>43</v>
      </c>
      <c r="C40">
        <f>IF('muut muuttujat'!$G$3=2,1,0)</f>
        <v>0</v>
      </c>
      <c r="D40">
        <v>1</v>
      </c>
      <c r="E40">
        <f t="shared" si="0"/>
        <v>0</v>
      </c>
      <c r="F40" s="10">
        <v>1</v>
      </c>
      <c r="K40" s="1"/>
      <c r="L40" s="10"/>
    </row>
    <row r="41" spans="1:12" ht="12.75">
      <c r="A41" s="1">
        <v>30</v>
      </c>
      <c r="B41" s="10" t="s">
        <v>45</v>
      </c>
      <c r="C41">
        <f>IF('muut muuttujat'!$G$3=2,1,0)</f>
        <v>0</v>
      </c>
      <c r="D41">
        <v>1</v>
      </c>
      <c r="E41">
        <f t="shared" si="0"/>
        <v>0</v>
      </c>
      <c r="F41" s="10">
        <v>1</v>
      </c>
      <c r="K41" s="1"/>
      <c r="L41" s="10"/>
    </row>
    <row r="42" spans="1:12" ht="12.75">
      <c r="A42" s="1">
        <v>31</v>
      </c>
      <c r="B42" s="10" t="s">
        <v>46</v>
      </c>
      <c r="C42">
        <f>IF('muut muuttujat'!$G$3=2,1,0)</f>
        <v>0</v>
      </c>
      <c r="D42">
        <v>1</v>
      </c>
      <c r="E42">
        <f t="shared" si="0"/>
        <v>0</v>
      </c>
      <c r="F42" s="10">
        <v>1</v>
      </c>
      <c r="K42" s="1"/>
      <c r="L42" s="10"/>
    </row>
    <row r="43" spans="1:12" ht="12.75">
      <c r="A43" s="1">
        <v>32</v>
      </c>
      <c r="B43" s="10" t="s">
        <v>47</v>
      </c>
      <c r="C43">
        <f>IF('muut muuttujat'!$G$3=2,1,0)</f>
        <v>0</v>
      </c>
      <c r="D43">
        <v>1</v>
      </c>
      <c r="E43">
        <f t="shared" si="0"/>
        <v>0</v>
      </c>
      <c r="F43" s="10">
        <v>1</v>
      </c>
      <c r="K43" s="1"/>
      <c r="L43" s="10"/>
    </row>
    <row r="44" spans="1:12" ht="12.75">
      <c r="A44" s="1">
        <v>33</v>
      </c>
      <c r="B44" s="10" t="s">
        <v>188</v>
      </c>
      <c r="C44">
        <f>IF('muut muuttujat'!$G$3=2,1,0)</f>
        <v>0</v>
      </c>
      <c r="D44">
        <v>1</v>
      </c>
      <c r="E44">
        <f t="shared" si="0"/>
        <v>0</v>
      </c>
      <c r="F44" s="10">
        <v>1</v>
      </c>
      <c r="K44" s="1"/>
      <c r="L44" s="10"/>
    </row>
    <row r="45" spans="1:12" ht="12.75">
      <c r="A45" s="1">
        <v>34</v>
      </c>
      <c r="B45" s="10" t="s">
        <v>52</v>
      </c>
      <c r="C45">
        <f>IF('muut muuttujat'!$G$3=2,1,0)</f>
        <v>0</v>
      </c>
      <c r="D45">
        <v>1</v>
      </c>
      <c r="E45">
        <f t="shared" si="0"/>
        <v>0</v>
      </c>
      <c r="F45" s="10">
        <v>1</v>
      </c>
      <c r="K45" s="1"/>
      <c r="L45" s="10"/>
    </row>
    <row r="46" spans="1:12" ht="12.75">
      <c r="A46" s="1">
        <v>35</v>
      </c>
      <c r="B46" s="10" t="s">
        <v>53</v>
      </c>
      <c r="C46">
        <f>IF('muut muuttujat'!$G$3=2,1,0)</f>
        <v>0</v>
      </c>
      <c r="D46">
        <v>1</v>
      </c>
      <c r="E46">
        <f t="shared" si="0"/>
        <v>0</v>
      </c>
      <c r="F46" s="10">
        <v>1</v>
      </c>
      <c r="K46" s="1"/>
      <c r="L46" s="10"/>
    </row>
    <row r="47" spans="1:12" ht="12.75">
      <c r="A47" s="1">
        <v>36</v>
      </c>
      <c r="B47" s="10" t="s">
        <v>55</v>
      </c>
      <c r="C47">
        <f>IF('muut muuttujat'!$G$3=2,1,0)</f>
        <v>0</v>
      </c>
      <c r="D47">
        <v>1</v>
      </c>
      <c r="E47">
        <f t="shared" si="0"/>
        <v>0</v>
      </c>
      <c r="F47" s="10">
        <v>1</v>
      </c>
      <c r="K47" s="1"/>
      <c r="L47" s="10"/>
    </row>
    <row r="48" spans="1:12" ht="12.75">
      <c r="A48" s="1">
        <v>37</v>
      </c>
      <c r="B48" s="10" t="s">
        <v>54</v>
      </c>
      <c r="C48">
        <f>IF('muut muuttujat'!$G$3=2,1,0)</f>
        <v>0</v>
      </c>
      <c r="D48">
        <v>1</v>
      </c>
      <c r="E48">
        <f t="shared" si="0"/>
        <v>0</v>
      </c>
      <c r="F48" s="10">
        <v>1</v>
      </c>
      <c r="K48" s="1"/>
      <c r="L48" s="10"/>
    </row>
    <row r="49" spans="1:12" ht="12.75">
      <c r="A49" s="1">
        <v>38</v>
      </c>
      <c r="B49" s="10" t="s">
        <v>48</v>
      </c>
      <c r="C49">
        <f>IF('muut muuttujat'!$G$3=2,1,0)</f>
        <v>0</v>
      </c>
      <c r="D49">
        <v>1</v>
      </c>
      <c r="E49">
        <f t="shared" si="0"/>
        <v>0</v>
      </c>
      <c r="F49" s="10">
        <v>1</v>
      </c>
      <c r="K49" s="1"/>
      <c r="L49" s="10"/>
    </row>
    <row r="50" spans="1:12" ht="12.75">
      <c r="A50" s="1">
        <v>39</v>
      </c>
      <c r="B50" s="10" t="s">
        <v>51</v>
      </c>
      <c r="C50">
        <f>IF('muut muuttujat'!$G$3=2,1,0)</f>
        <v>0</v>
      </c>
      <c r="D50">
        <v>1</v>
      </c>
      <c r="E50">
        <f t="shared" si="0"/>
        <v>0</v>
      </c>
      <c r="F50" s="10">
        <v>1</v>
      </c>
      <c r="K50" s="1"/>
      <c r="L50" s="10"/>
    </row>
    <row r="51" spans="1:12" ht="12.75">
      <c r="A51" s="1">
        <v>40</v>
      </c>
      <c r="B51" s="10" t="s">
        <v>49</v>
      </c>
      <c r="C51">
        <f>IF('muut muuttujat'!$G$3=2,1,0)</f>
        <v>0</v>
      </c>
      <c r="D51">
        <v>1</v>
      </c>
      <c r="E51">
        <f t="shared" si="0"/>
        <v>0</v>
      </c>
      <c r="F51" s="10">
        <v>1</v>
      </c>
      <c r="K51" s="1"/>
      <c r="L51" s="10"/>
    </row>
    <row r="52" spans="1:12" ht="12.75">
      <c r="A52" s="1">
        <v>41</v>
      </c>
      <c r="B52" s="10" t="s">
        <v>50</v>
      </c>
      <c r="C52">
        <f>IF('muut muuttujat'!$G$3=2,1,0)</f>
        <v>0</v>
      </c>
      <c r="D52">
        <v>1</v>
      </c>
      <c r="E52">
        <f t="shared" si="0"/>
        <v>0</v>
      </c>
      <c r="F52" s="10">
        <v>1</v>
      </c>
      <c r="K52" s="1"/>
      <c r="L52" s="10"/>
    </row>
    <row r="53" spans="1:12" ht="12.75">
      <c r="A53" s="1">
        <v>42</v>
      </c>
      <c r="B53" s="10" t="s">
        <v>56</v>
      </c>
      <c r="C53">
        <f>IF('muut muuttujat'!$G$3=2,1,0)</f>
        <v>0</v>
      </c>
      <c r="D53">
        <v>1</v>
      </c>
      <c r="E53">
        <f t="shared" si="0"/>
        <v>0</v>
      </c>
      <c r="F53" s="10">
        <v>1</v>
      </c>
      <c r="H53">
        <v>1</v>
      </c>
      <c r="K53" s="1"/>
      <c r="L53" s="10"/>
    </row>
    <row r="54" spans="1:12" ht="12.75">
      <c r="A54" s="1">
        <v>43</v>
      </c>
      <c r="B54" s="10" t="s">
        <v>57</v>
      </c>
      <c r="C54">
        <f>IF('muut muuttujat'!$G$3=2,1,0)</f>
        <v>0</v>
      </c>
      <c r="D54">
        <v>1</v>
      </c>
      <c r="E54">
        <f t="shared" si="0"/>
        <v>0</v>
      </c>
      <c r="F54" s="10">
        <v>1</v>
      </c>
      <c r="H54">
        <v>1</v>
      </c>
      <c r="K54" s="1"/>
      <c r="L54" s="10"/>
    </row>
    <row r="55" spans="1:12" ht="12.75">
      <c r="A55" s="1">
        <v>44</v>
      </c>
      <c r="B55" s="10" t="s">
        <v>58</v>
      </c>
      <c r="C55">
        <f>IF('muut muuttujat'!$G$3=2,1,0)</f>
        <v>0</v>
      </c>
      <c r="D55">
        <v>1</v>
      </c>
      <c r="E55">
        <f t="shared" si="0"/>
        <v>0</v>
      </c>
      <c r="F55" s="10">
        <v>1</v>
      </c>
      <c r="H55">
        <v>1</v>
      </c>
      <c r="K55" s="1"/>
      <c r="L55" s="10"/>
    </row>
    <row r="56" spans="1:12" ht="12.75">
      <c r="A56" s="1">
        <v>45</v>
      </c>
      <c r="B56" s="10" t="s">
        <v>59</v>
      </c>
      <c r="C56">
        <f>IF('muut muuttujat'!$G$3=2,1,0)</f>
        <v>0</v>
      </c>
      <c r="D56">
        <v>1</v>
      </c>
      <c r="E56">
        <f t="shared" si="0"/>
        <v>0</v>
      </c>
      <c r="F56" s="10">
        <v>1</v>
      </c>
      <c r="H56">
        <v>1</v>
      </c>
      <c r="K56" s="1"/>
      <c r="L56" s="10"/>
    </row>
    <row r="57" spans="1:12" ht="12.75">
      <c r="A57" s="1">
        <v>46</v>
      </c>
      <c r="B57" s="10" t="s">
        <v>60</v>
      </c>
      <c r="C57">
        <f>IF('muut muuttujat'!$G$3=2,1,0)</f>
        <v>0</v>
      </c>
      <c r="D57">
        <v>1</v>
      </c>
      <c r="E57">
        <f t="shared" si="0"/>
        <v>0</v>
      </c>
      <c r="F57" s="10">
        <v>1</v>
      </c>
      <c r="H57">
        <v>1</v>
      </c>
      <c r="K57" s="1"/>
      <c r="L57" s="10"/>
    </row>
    <row r="58" spans="1:12" ht="12.75">
      <c r="A58" s="1">
        <v>47</v>
      </c>
      <c r="B58" s="10" t="s">
        <v>61</v>
      </c>
      <c r="C58">
        <f>IF('muut muuttujat'!$G$3=2,1,0)</f>
        <v>0</v>
      </c>
      <c r="D58">
        <v>1</v>
      </c>
      <c r="E58">
        <f t="shared" si="0"/>
        <v>0</v>
      </c>
      <c r="F58" s="10">
        <v>1</v>
      </c>
      <c r="H58">
        <v>1</v>
      </c>
      <c r="K58" s="1"/>
      <c r="L58" s="10"/>
    </row>
    <row r="59" spans="1:12" ht="12.75">
      <c r="A59" s="1">
        <v>48</v>
      </c>
      <c r="B59" s="10" t="s">
        <v>63</v>
      </c>
      <c r="C59">
        <f>IF('muut muuttujat'!$G$3=2,1,0)</f>
        <v>0</v>
      </c>
      <c r="D59">
        <v>1</v>
      </c>
      <c r="E59">
        <f t="shared" si="0"/>
        <v>0</v>
      </c>
      <c r="F59" s="10">
        <v>1</v>
      </c>
      <c r="H59">
        <v>1</v>
      </c>
      <c r="K59" s="1"/>
      <c r="L59" s="10"/>
    </row>
    <row r="60" spans="1:12" ht="12.75">
      <c r="A60" s="1">
        <v>49</v>
      </c>
      <c r="B60" s="10" t="s">
        <v>62</v>
      </c>
      <c r="C60">
        <f>IF('muut muuttujat'!$G$3=2,1,0)</f>
        <v>0</v>
      </c>
      <c r="D60">
        <v>1</v>
      </c>
      <c r="E60">
        <f t="shared" si="0"/>
        <v>0</v>
      </c>
      <c r="F60" s="10">
        <v>1</v>
      </c>
      <c r="H60">
        <v>1</v>
      </c>
      <c r="K60" s="1"/>
      <c r="L60" s="10"/>
    </row>
    <row r="61" spans="1:12" ht="12.75">
      <c r="A61" s="1">
        <v>50</v>
      </c>
      <c r="B61" s="10" t="s">
        <v>64</v>
      </c>
      <c r="C61">
        <f>IF('muut muuttujat'!$G$3=2,1,0)</f>
        <v>0</v>
      </c>
      <c r="D61">
        <v>1</v>
      </c>
      <c r="E61">
        <f t="shared" si="0"/>
        <v>0</v>
      </c>
      <c r="F61" s="10">
        <v>1</v>
      </c>
      <c r="H61">
        <v>1</v>
      </c>
      <c r="K61" s="1"/>
      <c r="L61" s="10"/>
    </row>
    <row r="62" spans="1:12" ht="12.75">
      <c r="A62" s="1">
        <v>51</v>
      </c>
      <c r="B62" s="10" t="s">
        <v>65</v>
      </c>
      <c r="C62">
        <f>IF('muut muuttujat'!$G$3=2,1,0)</f>
        <v>0</v>
      </c>
      <c r="D62">
        <v>1</v>
      </c>
      <c r="E62">
        <f t="shared" si="0"/>
        <v>0</v>
      </c>
      <c r="F62" s="10">
        <v>1</v>
      </c>
      <c r="H62">
        <v>1</v>
      </c>
      <c r="K62" s="1"/>
      <c r="L62" s="10"/>
    </row>
    <row r="63" spans="1:12" ht="12.75">
      <c r="A63" s="1">
        <v>52</v>
      </c>
      <c r="B63" s="10" t="s">
        <v>66</v>
      </c>
      <c r="C63">
        <f>IF('muut muuttujat'!$G$3=2,1,0)</f>
        <v>0</v>
      </c>
      <c r="D63">
        <v>1</v>
      </c>
      <c r="E63">
        <f t="shared" si="0"/>
        <v>0</v>
      </c>
      <c r="F63" s="10">
        <v>1</v>
      </c>
      <c r="H63">
        <v>1</v>
      </c>
      <c r="K63" s="1"/>
      <c r="L63" s="10"/>
    </row>
    <row r="64" spans="1:12" ht="12.75">
      <c r="A64" s="1">
        <v>53</v>
      </c>
      <c r="B64" s="10" t="s">
        <v>141</v>
      </c>
      <c r="C64">
        <f>IF('muut muuttujat'!$G$3=2,1,0)</f>
        <v>0</v>
      </c>
      <c r="D64">
        <v>1</v>
      </c>
      <c r="E64">
        <f t="shared" si="0"/>
        <v>0</v>
      </c>
      <c r="F64" s="10">
        <v>1</v>
      </c>
      <c r="H64">
        <v>1</v>
      </c>
      <c r="K64" s="1"/>
      <c r="L64" s="10"/>
    </row>
    <row r="65" spans="1:12" ht="12.75">
      <c r="A65" s="1">
        <v>54</v>
      </c>
      <c r="B65" s="10" t="s">
        <v>67</v>
      </c>
      <c r="C65">
        <f>IF('muut muuttujat'!$G$3=2,1,0)</f>
        <v>0</v>
      </c>
      <c r="D65">
        <v>1</v>
      </c>
      <c r="E65">
        <f t="shared" si="0"/>
        <v>0</v>
      </c>
      <c r="F65" s="10">
        <v>1</v>
      </c>
      <c r="H65">
        <v>1</v>
      </c>
      <c r="K65" s="1"/>
      <c r="L65" s="10"/>
    </row>
    <row r="66" spans="1:12" ht="12.75">
      <c r="A66" s="1">
        <v>55</v>
      </c>
      <c r="B66" s="10" t="s">
        <v>68</v>
      </c>
      <c r="C66">
        <f>IF('muut muuttujat'!$G$3=2,1,0)</f>
        <v>0</v>
      </c>
      <c r="D66">
        <v>1</v>
      </c>
      <c r="E66">
        <f t="shared" si="0"/>
        <v>0</v>
      </c>
      <c r="F66" s="10">
        <v>1</v>
      </c>
      <c r="H66">
        <v>1</v>
      </c>
      <c r="K66" s="1"/>
      <c r="L66" s="10"/>
    </row>
    <row r="67" spans="1:12" ht="12.75">
      <c r="A67" s="1">
        <v>56</v>
      </c>
      <c r="B67" s="10" t="s">
        <v>74</v>
      </c>
      <c r="C67">
        <f>IF('muut muuttujat'!$G$3=2,1,0)</f>
        <v>0</v>
      </c>
      <c r="D67">
        <v>1</v>
      </c>
      <c r="E67">
        <f t="shared" si="0"/>
        <v>0</v>
      </c>
      <c r="F67" s="10">
        <v>1</v>
      </c>
      <c r="H67">
        <v>1</v>
      </c>
      <c r="K67" s="1"/>
      <c r="L67" s="10"/>
    </row>
    <row r="68" spans="1:12" ht="12.75">
      <c r="A68" s="1">
        <v>57</v>
      </c>
      <c r="B68" s="10" t="s">
        <v>69</v>
      </c>
      <c r="C68">
        <f>IF('muut muuttujat'!$G$3=2,1,0)</f>
        <v>0</v>
      </c>
      <c r="D68">
        <v>1</v>
      </c>
      <c r="E68">
        <f t="shared" si="0"/>
        <v>0</v>
      </c>
      <c r="F68" s="10">
        <v>1</v>
      </c>
      <c r="H68">
        <v>1</v>
      </c>
      <c r="K68" s="1"/>
      <c r="L68" s="10"/>
    </row>
    <row r="69" spans="1:12" ht="12.75">
      <c r="A69" s="1">
        <v>58</v>
      </c>
      <c r="B69" s="10" t="s">
        <v>70</v>
      </c>
      <c r="C69">
        <f>IF('muut muuttujat'!$G$3=2,1,0)</f>
        <v>0</v>
      </c>
      <c r="D69">
        <v>1</v>
      </c>
      <c r="E69">
        <f t="shared" si="0"/>
        <v>0</v>
      </c>
      <c r="F69" s="10">
        <v>1</v>
      </c>
      <c r="H69">
        <v>1</v>
      </c>
      <c r="K69" s="1"/>
      <c r="L69" s="10"/>
    </row>
    <row r="70" spans="1:12" ht="12.75">
      <c r="A70" s="1">
        <v>59</v>
      </c>
      <c r="B70" s="10" t="s">
        <v>73</v>
      </c>
      <c r="C70">
        <f>IF('muut muuttujat'!$G$3=2,1,0)</f>
        <v>0</v>
      </c>
      <c r="D70">
        <v>1</v>
      </c>
      <c r="E70">
        <f t="shared" si="0"/>
        <v>0</v>
      </c>
      <c r="F70" s="10">
        <v>1</v>
      </c>
      <c r="H70">
        <v>1</v>
      </c>
      <c r="K70" s="1"/>
      <c r="L70" s="10"/>
    </row>
    <row r="71" spans="1:12" ht="12.75">
      <c r="A71" s="1">
        <v>60</v>
      </c>
      <c r="B71" s="10" t="s">
        <v>71</v>
      </c>
      <c r="C71">
        <f>IF('muut muuttujat'!$G$3=2,1,0)</f>
        <v>0</v>
      </c>
      <c r="D71">
        <v>1</v>
      </c>
      <c r="E71">
        <f t="shared" si="0"/>
        <v>0</v>
      </c>
      <c r="F71" s="10">
        <v>1</v>
      </c>
      <c r="H71">
        <v>1</v>
      </c>
      <c r="K71" s="1"/>
      <c r="L71" s="10"/>
    </row>
    <row r="72" spans="1:12" ht="12.75">
      <c r="A72" s="1">
        <v>61</v>
      </c>
      <c r="B72" s="10" t="s">
        <v>72</v>
      </c>
      <c r="C72">
        <f>IF('muut muuttujat'!$G$3=2,1,0)</f>
        <v>0</v>
      </c>
      <c r="D72">
        <v>1</v>
      </c>
      <c r="E72">
        <f t="shared" si="0"/>
        <v>0</v>
      </c>
      <c r="F72" s="10">
        <v>1</v>
      </c>
      <c r="H72">
        <v>1</v>
      </c>
      <c r="K72" s="1"/>
      <c r="L72" s="10"/>
    </row>
    <row r="73" spans="1:12" ht="12.75">
      <c r="A73" s="1">
        <v>62</v>
      </c>
      <c r="B73" s="10" t="s">
        <v>75</v>
      </c>
      <c r="C73">
        <f>IF('muut muuttujat'!$G$3=2,1,0)</f>
        <v>0</v>
      </c>
      <c r="D73">
        <v>1</v>
      </c>
      <c r="E73">
        <f t="shared" si="0"/>
        <v>0</v>
      </c>
      <c r="F73" s="10">
        <v>1</v>
      </c>
      <c r="K73" s="1"/>
      <c r="L73" s="10"/>
    </row>
    <row r="74" spans="1:12" ht="12.75">
      <c r="A74" s="1">
        <v>63</v>
      </c>
      <c r="B74" s="10" t="s">
        <v>76</v>
      </c>
      <c r="C74">
        <f>IF('muut muuttujat'!$G$3=2,1,0)</f>
        <v>0</v>
      </c>
      <c r="D74">
        <v>1</v>
      </c>
      <c r="E74">
        <f t="shared" si="0"/>
        <v>0</v>
      </c>
      <c r="F74" s="10">
        <v>1</v>
      </c>
      <c r="K74" s="1"/>
      <c r="L74" s="10"/>
    </row>
    <row r="75" spans="1:12" ht="12.75">
      <c r="A75" s="1">
        <v>64</v>
      </c>
      <c r="B75" s="10" t="s">
        <v>77</v>
      </c>
      <c r="C75">
        <f>IF('muut muuttujat'!$G$3=2,1,0)</f>
        <v>0</v>
      </c>
      <c r="D75">
        <v>1</v>
      </c>
      <c r="E75">
        <f t="shared" si="0"/>
        <v>0</v>
      </c>
      <c r="F75" s="10">
        <v>1</v>
      </c>
      <c r="K75" s="1"/>
      <c r="L75" s="10"/>
    </row>
    <row r="76" spans="1:12" ht="12.75">
      <c r="A76" s="1">
        <v>65</v>
      </c>
      <c r="B76" s="10" t="s">
        <v>78</v>
      </c>
      <c r="C76">
        <f>IF('muut muuttujat'!$G$3=2,1,0)</f>
        <v>0</v>
      </c>
      <c r="D76">
        <v>1</v>
      </c>
      <c r="E76">
        <f t="shared" si="0"/>
        <v>0</v>
      </c>
      <c r="F76" s="10">
        <v>1</v>
      </c>
      <c r="K76" s="1"/>
      <c r="L76" s="10"/>
    </row>
    <row r="77" spans="1:12" ht="12.75">
      <c r="A77" s="1">
        <v>66</v>
      </c>
      <c r="B77" s="10" t="s">
        <v>217</v>
      </c>
      <c r="C77">
        <f>IF('muut muuttujat'!$G$3=2,1,0)</f>
        <v>0</v>
      </c>
      <c r="D77">
        <v>1</v>
      </c>
      <c r="E77">
        <f t="shared" si="0"/>
        <v>0</v>
      </c>
      <c r="F77" s="10">
        <v>1</v>
      </c>
      <c r="H77">
        <v>1</v>
      </c>
      <c r="K77" s="1"/>
      <c r="L77" s="10"/>
    </row>
    <row r="78" spans="1:12" ht="12.75">
      <c r="A78" s="1">
        <v>67</v>
      </c>
      <c r="B78" s="10" t="s">
        <v>83</v>
      </c>
      <c r="C78">
        <f>IF('muut muuttujat'!$G$3=2,1,0)</f>
        <v>0</v>
      </c>
      <c r="D78">
        <v>1</v>
      </c>
      <c r="E78">
        <f t="shared" si="0"/>
        <v>0</v>
      </c>
      <c r="F78" s="10">
        <v>1</v>
      </c>
      <c r="H78">
        <v>1</v>
      </c>
      <c r="K78" s="1"/>
      <c r="L78" s="10"/>
    </row>
    <row r="79" spans="1:12" ht="12.75">
      <c r="A79" s="1">
        <v>68</v>
      </c>
      <c r="B79" s="10" t="s">
        <v>85</v>
      </c>
      <c r="C79">
        <f>IF('muut muuttujat'!$G$3=2,1,0)</f>
        <v>0</v>
      </c>
      <c r="D79">
        <v>1</v>
      </c>
      <c r="E79">
        <f aca="true" t="shared" si="1" ref="E79:E136">IF(C79+D79&gt;1,1,0)</f>
        <v>0</v>
      </c>
      <c r="F79" s="10">
        <v>1</v>
      </c>
      <c r="H79">
        <v>1</v>
      </c>
      <c r="K79" s="1"/>
      <c r="L79" s="10"/>
    </row>
    <row r="80" spans="1:12" ht="12.75">
      <c r="A80" s="1">
        <v>69</v>
      </c>
      <c r="B80" s="10" t="s">
        <v>84</v>
      </c>
      <c r="C80">
        <f>IF('muut muuttujat'!$G$3=2,1,0)</f>
        <v>0</v>
      </c>
      <c r="D80">
        <v>1</v>
      </c>
      <c r="E80">
        <f t="shared" si="1"/>
        <v>0</v>
      </c>
      <c r="F80" s="10">
        <v>1</v>
      </c>
      <c r="H80">
        <v>1</v>
      </c>
      <c r="K80" s="1"/>
      <c r="L80" s="10"/>
    </row>
    <row r="81" spans="1:12" ht="12.75">
      <c r="A81" s="1">
        <v>70</v>
      </c>
      <c r="B81" s="10" t="s">
        <v>79</v>
      </c>
      <c r="C81">
        <f>IF('muut muuttujat'!$G$3=2,1,0)</f>
        <v>0</v>
      </c>
      <c r="D81">
        <v>1</v>
      </c>
      <c r="E81">
        <f t="shared" si="1"/>
        <v>0</v>
      </c>
      <c r="F81" s="10">
        <v>1</v>
      </c>
      <c r="K81" s="1"/>
      <c r="L81" s="10"/>
    </row>
    <row r="82" spans="1:12" ht="12.75">
      <c r="A82" s="1">
        <v>71</v>
      </c>
      <c r="B82" s="10" t="s">
        <v>80</v>
      </c>
      <c r="C82">
        <f>IF('muut muuttujat'!$G$3=2,1,0)</f>
        <v>0</v>
      </c>
      <c r="D82">
        <v>1</v>
      </c>
      <c r="E82">
        <f t="shared" si="1"/>
        <v>0</v>
      </c>
      <c r="F82" s="10">
        <v>1</v>
      </c>
      <c r="K82" s="1"/>
      <c r="L82" s="10"/>
    </row>
    <row r="83" spans="1:12" ht="12.75">
      <c r="A83" s="1">
        <v>72</v>
      </c>
      <c r="B83" s="10" t="s">
        <v>82</v>
      </c>
      <c r="C83">
        <f>IF('muut muuttujat'!$G$3=2,1,0)</f>
        <v>0</v>
      </c>
      <c r="D83">
        <v>1</v>
      </c>
      <c r="E83">
        <f t="shared" si="1"/>
        <v>0</v>
      </c>
      <c r="F83" s="10">
        <v>1</v>
      </c>
      <c r="K83" s="1"/>
      <c r="L83" s="10"/>
    </row>
    <row r="84" spans="1:12" ht="12.75">
      <c r="A84" s="1">
        <v>73</v>
      </c>
      <c r="B84" s="10" t="s">
        <v>81</v>
      </c>
      <c r="C84">
        <f>IF('muut muuttujat'!$G$3=2,1,0)</f>
        <v>0</v>
      </c>
      <c r="D84">
        <v>1</v>
      </c>
      <c r="E84">
        <f t="shared" si="1"/>
        <v>0</v>
      </c>
      <c r="F84" s="10">
        <v>1</v>
      </c>
      <c r="K84" s="1"/>
      <c r="L84" s="10"/>
    </row>
    <row r="85" spans="1:12" ht="12.75">
      <c r="A85" s="1">
        <v>74</v>
      </c>
      <c r="B85" s="10" t="s">
        <v>86</v>
      </c>
      <c r="C85">
        <f>IF('muut muuttujat'!$G$3=2,1,0)</f>
        <v>0</v>
      </c>
      <c r="D85">
        <v>1</v>
      </c>
      <c r="E85">
        <f t="shared" si="1"/>
        <v>0</v>
      </c>
      <c r="F85" s="10">
        <v>1</v>
      </c>
      <c r="H85">
        <v>1</v>
      </c>
      <c r="K85" s="1"/>
      <c r="L85" s="10"/>
    </row>
    <row r="86" spans="1:12" ht="12.75">
      <c r="A86" s="1">
        <v>75</v>
      </c>
      <c r="B86" s="10" t="s">
        <v>87</v>
      </c>
      <c r="C86">
        <f>IF('muut muuttujat'!$G$3=2,1,0)</f>
        <v>0</v>
      </c>
      <c r="D86">
        <v>1</v>
      </c>
      <c r="E86">
        <f t="shared" si="1"/>
        <v>0</v>
      </c>
      <c r="F86" s="10">
        <v>1</v>
      </c>
      <c r="H86">
        <v>1</v>
      </c>
      <c r="K86" s="1"/>
      <c r="L86" s="10"/>
    </row>
    <row r="87" spans="1:12" ht="12.75">
      <c r="A87" s="1">
        <v>76</v>
      </c>
      <c r="B87" s="10" t="s">
        <v>88</v>
      </c>
      <c r="C87">
        <f>IF('muut muuttujat'!$G$3=2,1,0)</f>
        <v>0</v>
      </c>
      <c r="D87">
        <v>1</v>
      </c>
      <c r="E87">
        <f t="shared" si="1"/>
        <v>0</v>
      </c>
      <c r="F87" s="10">
        <v>1</v>
      </c>
      <c r="H87">
        <v>1</v>
      </c>
      <c r="K87" s="1"/>
      <c r="L87" s="10"/>
    </row>
    <row r="88" spans="1:12" ht="12.75">
      <c r="A88" s="1">
        <v>77</v>
      </c>
      <c r="B88" s="10" t="s">
        <v>89</v>
      </c>
      <c r="C88">
        <f>IF('muut muuttujat'!$G$3=2,1,0)</f>
        <v>0</v>
      </c>
      <c r="D88">
        <v>1</v>
      </c>
      <c r="E88">
        <f t="shared" si="1"/>
        <v>0</v>
      </c>
      <c r="F88" s="10">
        <v>1</v>
      </c>
      <c r="H88">
        <v>1</v>
      </c>
      <c r="K88" s="1"/>
      <c r="L88" s="10"/>
    </row>
    <row r="89" spans="1:12" ht="12.75">
      <c r="A89" s="1">
        <v>78</v>
      </c>
      <c r="B89" s="10" t="s">
        <v>189</v>
      </c>
      <c r="C89">
        <f>IF('muut muuttujat'!$G$3=2,1,0)</f>
        <v>0</v>
      </c>
      <c r="E89">
        <f t="shared" si="1"/>
        <v>0</v>
      </c>
      <c r="F89" s="10"/>
      <c r="K89" s="1"/>
      <c r="L89" s="10"/>
    </row>
    <row r="90" spans="1:12" ht="12.75">
      <c r="A90" s="1">
        <v>79</v>
      </c>
      <c r="B90" s="10" t="s">
        <v>244</v>
      </c>
      <c r="C90">
        <f>IF('muut muuttujat'!$G$3=2,1,0)</f>
        <v>0</v>
      </c>
      <c r="E90">
        <f t="shared" si="1"/>
        <v>0</v>
      </c>
      <c r="F90" s="10"/>
      <c r="K90" s="1"/>
      <c r="L90" s="10"/>
    </row>
    <row r="91" spans="1:12" ht="12.75">
      <c r="A91" s="1">
        <v>80</v>
      </c>
      <c r="B91" s="10" t="s">
        <v>245</v>
      </c>
      <c r="C91">
        <f>IF('muut muuttujat'!$G$3=2,1,0)</f>
        <v>0</v>
      </c>
      <c r="E91">
        <f t="shared" si="1"/>
        <v>0</v>
      </c>
      <c r="F91" s="10"/>
      <c r="K91" s="1"/>
      <c r="L91" s="10"/>
    </row>
    <row r="92" spans="1:12" ht="12.75">
      <c r="A92" s="1">
        <v>81</v>
      </c>
      <c r="B92" s="10" t="s">
        <v>190</v>
      </c>
      <c r="C92">
        <f>IF('muut muuttujat'!$G$3=2,1,0)</f>
        <v>0</v>
      </c>
      <c r="E92">
        <f t="shared" si="1"/>
        <v>0</v>
      </c>
      <c r="F92" s="10"/>
      <c r="K92" s="1"/>
      <c r="L92" s="10"/>
    </row>
    <row r="93" spans="1:12" ht="12.75">
      <c r="A93" s="1">
        <v>82</v>
      </c>
      <c r="B93" s="10" t="s">
        <v>191</v>
      </c>
      <c r="C93">
        <f>IF('muut muuttujat'!$G$3=2,1,0)</f>
        <v>0</v>
      </c>
      <c r="E93">
        <f t="shared" si="1"/>
        <v>0</v>
      </c>
      <c r="F93" s="10"/>
      <c r="K93" s="1"/>
      <c r="L93" s="10"/>
    </row>
    <row r="94" spans="1:12" ht="12.75">
      <c r="A94" s="1">
        <v>83</v>
      </c>
      <c r="B94" s="10" t="s">
        <v>96</v>
      </c>
      <c r="C94">
        <f>IF('muut muuttujat'!$G$3=2,1,0)</f>
        <v>0</v>
      </c>
      <c r="E94">
        <f t="shared" si="1"/>
        <v>0</v>
      </c>
      <c r="F94" s="10">
        <v>1</v>
      </c>
      <c r="K94" s="1"/>
      <c r="L94" s="10"/>
    </row>
    <row r="95" spans="1:12" ht="12.75">
      <c r="A95" s="1">
        <v>84</v>
      </c>
      <c r="B95" s="10" t="s">
        <v>97</v>
      </c>
      <c r="C95">
        <f>IF('muut muuttujat'!$G$3=2,1,0)</f>
        <v>0</v>
      </c>
      <c r="E95">
        <f t="shared" si="1"/>
        <v>0</v>
      </c>
      <c r="F95" s="10">
        <v>1</v>
      </c>
      <c r="K95" s="1"/>
      <c r="L95" s="10"/>
    </row>
    <row r="96" spans="1:12" ht="12.75">
      <c r="A96" s="1">
        <v>85</v>
      </c>
      <c r="B96" s="10" t="s">
        <v>316</v>
      </c>
      <c r="C96">
        <f>IF('muut muuttujat'!$G$3=2,1,0)</f>
        <v>0</v>
      </c>
      <c r="E96">
        <f t="shared" si="1"/>
        <v>0</v>
      </c>
      <c r="F96" s="10">
        <v>1</v>
      </c>
      <c r="K96" s="1"/>
      <c r="L96" s="10"/>
    </row>
    <row r="97" spans="1:12" ht="12.75">
      <c r="A97" s="1">
        <v>86</v>
      </c>
      <c r="B97" s="10" t="s">
        <v>318</v>
      </c>
      <c r="C97">
        <f>IF('muut muuttujat'!$G$3=2,1,0)</f>
        <v>0</v>
      </c>
      <c r="E97">
        <f t="shared" si="1"/>
        <v>0</v>
      </c>
      <c r="F97" s="10">
        <v>1</v>
      </c>
      <c r="K97" s="1"/>
      <c r="L97" s="10"/>
    </row>
    <row r="98" spans="1:12" ht="12.75">
      <c r="A98" s="1">
        <v>87</v>
      </c>
      <c r="B98" s="10" t="s">
        <v>98</v>
      </c>
      <c r="C98">
        <f>IF('muut muuttujat'!$G$3=2,1,0)</f>
        <v>0</v>
      </c>
      <c r="E98">
        <f t="shared" si="1"/>
        <v>0</v>
      </c>
      <c r="F98" s="10">
        <v>1</v>
      </c>
      <c r="K98" s="1"/>
      <c r="L98" s="10"/>
    </row>
    <row r="99" spans="1:12" ht="12.75">
      <c r="A99" s="1">
        <v>88</v>
      </c>
      <c r="B99" s="10" t="s">
        <v>99</v>
      </c>
      <c r="C99">
        <f>IF('muut muuttujat'!$G$3=2,1,0)</f>
        <v>0</v>
      </c>
      <c r="E99">
        <f t="shared" si="1"/>
        <v>0</v>
      </c>
      <c r="F99" s="10">
        <v>1</v>
      </c>
      <c r="K99" s="1"/>
      <c r="L99" s="10"/>
    </row>
    <row r="100" spans="1:12" ht="12.75">
      <c r="A100" s="1">
        <v>89</v>
      </c>
      <c r="B100" s="10" t="s">
        <v>100</v>
      </c>
      <c r="C100">
        <f>IF('muut muuttujat'!$G$3=2,1,0)</f>
        <v>0</v>
      </c>
      <c r="E100">
        <f t="shared" si="1"/>
        <v>0</v>
      </c>
      <c r="F100" s="10">
        <v>1</v>
      </c>
      <c r="H100">
        <v>1</v>
      </c>
      <c r="K100" s="1"/>
      <c r="L100" s="10"/>
    </row>
    <row r="101" spans="1:12" ht="12.75">
      <c r="A101" s="1">
        <v>90</v>
      </c>
      <c r="B101" s="10" t="s">
        <v>101</v>
      </c>
      <c r="C101">
        <f>IF('muut muuttujat'!$G$3=2,1,0)</f>
        <v>0</v>
      </c>
      <c r="E101">
        <f t="shared" si="1"/>
        <v>0</v>
      </c>
      <c r="F101" s="10">
        <v>1</v>
      </c>
      <c r="H101">
        <v>1</v>
      </c>
      <c r="K101" s="1"/>
      <c r="L101" s="10"/>
    </row>
    <row r="102" spans="1:12" ht="12.75">
      <c r="A102" s="1">
        <v>91</v>
      </c>
      <c r="B102" s="10" t="s">
        <v>317</v>
      </c>
      <c r="C102">
        <f>IF('muut muuttujat'!$G$3=2,1,0)</f>
        <v>0</v>
      </c>
      <c r="E102">
        <f t="shared" si="1"/>
        <v>0</v>
      </c>
      <c r="F102" s="10">
        <v>1</v>
      </c>
      <c r="H102">
        <v>1</v>
      </c>
      <c r="K102" s="1"/>
      <c r="L102" s="10"/>
    </row>
    <row r="103" spans="1:12" ht="12.75">
      <c r="A103" s="1">
        <v>92</v>
      </c>
      <c r="B103" s="10" t="s">
        <v>319</v>
      </c>
      <c r="C103">
        <f>IF('muut muuttujat'!$G$3=2,1,0)</f>
        <v>0</v>
      </c>
      <c r="E103">
        <f t="shared" si="1"/>
        <v>0</v>
      </c>
      <c r="F103" s="10">
        <v>1</v>
      </c>
      <c r="H103">
        <v>1</v>
      </c>
      <c r="K103" s="1"/>
      <c r="L103" s="10"/>
    </row>
    <row r="104" spans="1:12" ht="12.75">
      <c r="A104" s="1">
        <v>93</v>
      </c>
      <c r="B104" s="10" t="s">
        <v>102</v>
      </c>
      <c r="C104">
        <f>IF('muut muuttujat'!$G$3=2,1,0)</f>
        <v>0</v>
      </c>
      <c r="E104">
        <f t="shared" si="1"/>
        <v>0</v>
      </c>
      <c r="F104" s="10">
        <v>1</v>
      </c>
      <c r="H104">
        <v>1</v>
      </c>
      <c r="K104" s="1"/>
      <c r="L104" s="10"/>
    </row>
    <row r="105" spans="1:12" ht="12.75">
      <c r="A105" s="1">
        <v>94</v>
      </c>
      <c r="B105" s="10" t="s">
        <v>103</v>
      </c>
      <c r="C105">
        <f>IF('muut muuttujat'!$G$3=2,1,0)</f>
        <v>0</v>
      </c>
      <c r="E105">
        <f t="shared" si="1"/>
        <v>0</v>
      </c>
      <c r="F105" s="10">
        <v>1</v>
      </c>
      <c r="H105">
        <v>1</v>
      </c>
      <c r="K105" s="1"/>
      <c r="L105" s="10"/>
    </row>
    <row r="106" spans="1:12" ht="12.75">
      <c r="A106" s="1">
        <v>95</v>
      </c>
      <c r="B106" s="10" t="s">
        <v>104</v>
      </c>
      <c r="C106">
        <f>IF('muut muuttujat'!$G$3=2,1,0)</f>
        <v>0</v>
      </c>
      <c r="E106">
        <f t="shared" si="1"/>
        <v>0</v>
      </c>
      <c r="F106" s="10">
        <v>1</v>
      </c>
      <c r="K106" s="1"/>
      <c r="L106" s="10"/>
    </row>
    <row r="107" spans="1:12" ht="12.75">
      <c r="A107" s="1">
        <v>96</v>
      </c>
      <c r="B107" s="10" t="s">
        <v>105</v>
      </c>
      <c r="C107">
        <f>IF('muut muuttujat'!$G$3=2,1,0)</f>
        <v>0</v>
      </c>
      <c r="E107">
        <f t="shared" si="1"/>
        <v>0</v>
      </c>
      <c r="F107" s="10">
        <v>1</v>
      </c>
      <c r="K107" s="1"/>
      <c r="L107" s="10"/>
    </row>
    <row r="108" spans="1:12" ht="12.75">
      <c r="A108" s="1">
        <v>97</v>
      </c>
      <c r="B108" s="10" t="s">
        <v>5</v>
      </c>
      <c r="C108">
        <f>IF('muut muuttujat'!$G$3=2,1,0)</f>
        <v>0</v>
      </c>
      <c r="E108">
        <f t="shared" si="1"/>
        <v>0</v>
      </c>
      <c r="F108" s="10">
        <v>1</v>
      </c>
      <c r="K108" s="1"/>
      <c r="L108" s="10"/>
    </row>
    <row r="109" spans="1:12" ht="12.75">
      <c r="A109" s="1">
        <v>98</v>
      </c>
      <c r="B109" s="10" t="s">
        <v>106</v>
      </c>
      <c r="C109">
        <f>IF('muut muuttujat'!$G$3=2,1,0)</f>
        <v>0</v>
      </c>
      <c r="E109">
        <f t="shared" si="1"/>
        <v>0</v>
      </c>
      <c r="F109" s="10">
        <v>1</v>
      </c>
      <c r="H109">
        <v>1</v>
      </c>
      <c r="K109" s="1"/>
      <c r="L109" s="10"/>
    </row>
    <row r="110" spans="1:12" ht="12.75">
      <c r="A110" s="1">
        <v>99</v>
      </c>
      <c r="B110" s="10" t="s">
        <v>107</v>
      </c>
      <c r="C110">
        <f>IF('muut muuttujat'!$G$3=2,1,0)</f>
        <v>0</v>
      </c>
      <c r="E110">
        <f t="shared" si="1"/>
        <v>0</v>
      </c>
      <c r="F110" s="10">
        <v>1</v>
      </c>
      <c r="H110">
        <v>1</v>
      </c>
      <c r="K110" s="1"/>
      <c r="L110" s="10"/>
    </row>
    <row r="111" spans="1:12" ht="12.75">
      <c r="A111" s="1">
        <v>100</v>
      </c>
      <c r="B111" s="10" t="s">
        <v>6</v>
      </c>
      <c r="C111">
        <f>IF('muut muuttujat'!$G$3=2,1,0)</f>
        <v>0</v>
      </c>
      <c r="E111">
        <f t="shared" si="1"/>
        <v>0</v>
      </c>
      <c r="F111" s="10">
        <v>1</v>
      </c>
      <c r="H111">
        <v>1</v>
      </c>
      <c r="K111" s="1"/>
      <c r="L111" s="10"/>
    </row>
    <row r="112" spans="1:12" ht="12.75">
      <c r="A112" s="1">
        <v>101</v>
      </c>
      <c r="B112" s="10" t="s">
        <v>108</v>
      </c>
      <c r="C112">
        <f>IF('muut muuttujat'!$G$3=2,1,0)</f>
        <v>0</v>
      </c>
      <c r="E112">
        <f t="shared" si="1"/>
        <v>0</v>
      </c>
      <c r="F112" s="10">
        <v>1</v>
      </c>
      <c r="K112" s="1"/>
      <c r="L112" s="10"/>
    </row>
    <row r="113" spans="1:12" ht="12.75">
      <c r="A113" s="1">
        <v>102</v>
      </c>
      <c r="B113" s="10" t="s">
        <v>109</v>
      </c>
      <c r="C113">
        <f>IF('muut muuttujat'!$G$3=2,1,0)</f>
        <v>0</v>
      </c>
      <c r="E113">
        <f t="shared" si="1"/>
        <v>0</v>
      </c>
      <c r="F113" s="10">
        <v>1</v>
      </c>
      <c r="K113" s="1"/>
      <c r="L113" s="10"/>
    </row>
    <row r="114" spans="1:12" ht="12.75">
      <c r="A114" s="1">
        <v>103</v>
      </c>
      <c r="B114" s="10" t="s">
        <v>110</v>
      </c>
      <c r="C114">
        <f>IF('muut muuttujat'!$G$3=2,1,0)</f>
        <v>0</v>
      </c>
      <c r="E114">
        <f t="shared" si="1"/>
        <v>0</v>
      </c>
      <c r="F114" s="10">
        <v>1</v>
      </c>
      <c r="K114" s="1"/>
      <c r="L114" s="10"/>
    </row>
    <row r="115" spans="1:12" ht="12.75">
      <c r="A115" s="1">
        <v>104</v>
      </c>
      <c r="B115" s="10" t="s">
        <v>111</v>
      </c>
      <c r="C115">
        <f>IF('muut muuttujat'!$G$3=2,1,0)</f>
        <v>0</v>
      </c>
      <c r="E115">
        <f t="shared" si="1"/>
        <v>0</v>
      </c>
      <c r="F115" s="10">
        <v>1</v>
      </c>
      <c r="K115" s="1"/>
      <c r="L115" s="10"/>
    </row>
    <row r="116" spans="1:12" ht="12.75">
      <c r="A116" s="1">
        <v>105</v>
      </c>
      <c r="B116" s="10" t="s">
        <v>112</v>
      </c>
      <c r="C116">
        <f>IF('muut muuttujat'!$G$3=2,1,0)</f>
        <v>0</v>
      </c>
      <c r="E116">
        <f t="shared" si="1"/>
        <v>0</v>
      </c>
      <c r="F116" s="10">
        <v>1</v>
      </c>
      <c r="K116" s="1"/>
      <c r="L116" s="10"/>
    </row>
    <row r="117" spans="1:12" ht="12.75">
      <c r="A117" s="1">
        <v>106</v>
      </c>
      <c r="B117" s="10" t="s">
        <v>113</v>
      </c>
      <c r="C117">
        <f>IF('muut muuttujat'!$G$3=2,1,0)</f>
        <v>0</v>
      </c>
      <c r="E117">
        <f t="shared" si="1"/>
        <v>0</v>
      </c>
      <c r="F117" s="10">
        <v>1</v>
      </c>
      <c r="K117" s="1"/>
      <c r="L117" s="10"/>
    </row>
    <row r="118" spans="1:12" ht="12.75">
      <c r="A118" s="1">
        <v>107</v>
      </c>
      <c r="B118" s="10" t="s">
        <v>114</v>
      </c>
      <c r="C118">
        <f>IF('muut muuttujat'!$G$3=2,1,0)</f>
        <v>0</v>
      </c>
      <c r="E118">
        <f t="shared" si="1"/>
        <v>0</v>
      </c>
      <c r="F118" s="10">
        <v>1</v>
      </c>
      <c r="H118">
        <v>1</v>
      </c>
      <c r="K118" s="1"/>
      <c r="L118" s="10"/>
    </row>
    <row r="119" spans="1:12" ht="12.75">
      <c r="A119" s="1">
        <v>108</v>
      </c>
      <c r="B119" s="10" t="s">
        <v>115</v>
      </c>
      <c r="C119">
        <f>IF('muut muuttujat'!$G$3=2,1,0)</f>
        <v>0</v>
      </c>
      <c r="E119">
        <f t="shared" si="1"/>
        <v>0</v>
      </c>
      <c r="F119" s="10">
        <v>1</v>
      </c>
      <c r="H119">
        <v>1</v>
      </c>
      <c r="K119" s="1"/>
      <c r="L119" s="10"/>
    </row>
    <row r="120" spans="1:12" ht="12.75">
      <c r="A120" s="1">
        <v>109</v>
      </c>
      <c r="B120" s="10" t="s">
        <v>116</v>
      </c>
      <c r="C120">
        <f>IF('muut muuttujat'!$G$3=2,1,0)</f>
        <v>0</v>
      </c>
      <c r="E120">
        <f t="shared" si="1"/>
        <v>0</v>
      </c>
      <c r="F120" s="10">
        <v>1</v>
      </c>
      <c r="H120">
        <v>1</v>
      </c>
      <c r="K120" s="1"/>
      <c r="L120" s="10"/>
    </row>
    <row r="121" spans="1:12" ht="12.75">
      <c r="A121" s="1">
        <v>110</v>
      </c>
      <c r="B121" s="10" t="s">
        <v>117</v>
      </c>
      <c r="C121">
        <f>IF('muut muuttujat'!$G$3=2,1,0)</f>
        <v>0</v>
      </c>
      <c r="E121">
        <f t="shared" si="1"/>
        <v>0</v>
      </c>
      <c r="F121" s="10">
        <v>1</v>
      </c>
      <c r="H121">
        <v>1</v>
      </c>
      <c r="K121" s="1"/>
      <c r="L121" s="10"/>
    </row>
    <row r="122" spans="1:12" ht="12.75">
      <c r="A122" s="1">
        <v>111</v>
      </c>
      <c r="B122" s="10" t="s">
        <v>118</v>
      </c>
      <c r="C122">
        <f>IF('muut muuttujat'!$G$3=2,1,0)</f>
        <v>0</v>
      </c>
      <c r="E122">
        <f t="shared" si="1"/>
        <v>0</v>
      </c>
      <c r="F122" s="10">
        <v>1</v>
      </c>
      <c r="H122">
        <v>1</v>
      </c>
      <c r="K122" s="1"/>
      <c r="L122" s="10"/>
    </row>
    <row r="123" spans="1:12" ht="12.75">
      <c r="A123" s="1">
        <v>112</v>
      </c>
      <c r="B123" s="10" t="s">
        <v>119</v>
      </c>
      <c r="C123">
        <f>IF('muut muuttujat'!$G$3=2,1,0)</f>
        <v>0</v>
      </c>
      <c r="E123">
        <f t="shared" si="1"/>
        <v>0</v>
      </c>
      <c r="F123" s="10">
        <v>1</v>
      </c>
      <c r="H123">
        <v>1</v>
      </c>
      <c r="K123" s="1"/>
      <c r="L123" s="10"/>
    </row>
    <row r="124" spans="1:12" ht="12.75">
      <c r="A124" s="1">
        <v>113</v>
      </c>
      <c r="B124" s="10" t="s">
        <v>7</v>
      </c>
      <c r="C124">
        <f>IF('muut muuttujat'!$G$3=2,1,0)</f>
        <v>0</v>
      </c>
      <c r="E124">
        <f t="shared" si="1"/>
        <v>0</v>
      </c>
      <c r="F124" s="10"/>
      <c r="K124" s="1"/>
      <c r="L124" s="10"/>
    </row>
    <row r="125" spans="1:12" ht="12.75">
      <c r="A125" s="1">
        <v>114</v>
      </c>
      <c r="B125" s="10" t="s">
        <v>8</v>
      </c>
      <c r="C125">
        <f>IF('muut muuttujat'!$G$3=2,1,0)</f>
        <v>0</v>
      </c>
      <c r="E125">
        <f t="shared" si="1"/>
        <v>0</v>
      </c>
      <c r="F125" s="10"/>
      <c r="K125" s="1"/>
      <c r="L125" s="10"/>
    </row>
    <row r="126" spans="1:12" ht="12.75">
      <c r="A126" s="1">
        <v>115</v>
      </c>
      <c r="B126" s="10" t="s">
        <v>9</v>
      </c>
      <c r="C126">
        <f>IF('muut muuttujat'!$G$3=2,1,0)</f>
        <v>0</v>
      </c>
      <c r="E126">
        <f t="shared" si="1"/>
        <v>0</v>
      </c>
      <c r="F126" s="10">
        <v>1</v>
      </c>
      <c r="H126">
        <v>1</v>
      </c>
      <c r="K126" s="1"/>
      <c r="L126" s="10"/>
    </row>
    <row r="127" spans="1:12" ht="12.75">
      <c r="A127" s="1">
        <v>116</v>
      </c>
      <c r="B127" s="10" t="s">
        <v>10</v>
      </c>
      <c r="C127">
        <f>IF('muut muuttujat'!$G$3=2,1,0)</f>
        <v>0</v>
      </c>
      <c r="E127">
        <f t="shared" si="1"/>
        <v>0</v>
      </c>
      <c r="F127" s="10">
        <v>1</v>
      </c>
      <c r="H127">
        <v>1</v>
      </c>
      <c r="K127" s="1"/>
      <c r="L127" s="10"/>
    </row>
    <row r="128" spans="1:12" ht="12.75">
      <c r="A128" s="1">
        <v>117</v>
      </c>
      <c r="B128" s="10" t="s">
        <v>120</v>
      </c>
      <c r="C128">
        <f>IF('muut muuttujat'!$G$3=2,1,0)</f>
        <v>0</v>
      </c>
      <c r="E128">
        <f t="shared" si="1"/>
        <v>0</v>
      </c>
      <c r="F128" s="10"/>
      <c r="K128" s="1"/>
      <c r="L128" s="10"/>
    </row>
    <row r="129" spans="1:12" ht="12.75">
      <c r="A129" s="1">
        <v>118</v>
      </c>
      <c r="B129" s="10" t="s">
        <v>121</v>
      </c>
      <c r="C129">
        <f>IF('muut muuttujat'!$G$3=2,1,0)</f>
        <v>0</v>
      </c>
      <c r="E129">
        <f t="shared" si="1"/>
        <v>0</v>
      </c>
      <c r="F129" s="10"/>
      <c r="K129" s="1"/>
      <c r="L129" s="10"/>
    </row>
    <row r="130" spans="1:12" ht="12.75">
      <c r="A130" s="1">
        <v>119</v>
      </c>
      <c r="B130" s="10" t="s">
        <v>320</v>
      </c>
      <c r="C130">
        <f>IF('muut muuttujat'!$G$3=2,1,0)</f>
        <v>0</v>
      </c>
      <c r="E130">
        <f t="shared" si="1"/>
        <v>0</v>
      </c>
      <c r="F130" s="10"/>
      <c r="K130" s="1"/>
      <c r="L130" s="10"/>
    </row>
    <row r="131" spans="1:12" ht="12.75">
      <c r="A131" s="1">
        <v>120</v>
      </c>
      <c r="B131" s="134" t="s">
        <v>323</v>
      </c>
      <c r="C131">
        <f>IF('muut muuttujat'!$G$3=2,1,0)</f>
        <v>0</v>
      </c>
      <c r="E131">
        <f t="shared" si="1"/>
        <v>0</v>
      </c>
      <c r="F131" s="10"/>
      <c r="K131" s="1"/>
      <c r="L131" s="10"/>
    </row>
    <row r="132" spans="1:12" ht="12.75">
      <c r="A132" s="1">
        <v>121</v>
      </c>
      <c r="B132" s="10" t="s">
        <v>122</v>
      </c>
      <c r="C132">
        <f>IF('muut muuttujat'!$G$3=2,1,0)</f>
        <v>0</v>
      </c>
      <c r="E132">
        <f t="shared" si="1"/>
        <v>0</v>
      </c>
      <c r="F132" s="10"/>
      <c r="K132" s="1"/>
      <c r="L132" s="10"/>
    </row>
    <row r="133" spans="1:12" ht="12.75">
      <c r="A133" s="1">
        <v>122</v>
      </c>
      <c r="B133" s="10" t="s">
        <v>123</v>
      </c>
      <c r="C133">
        <f>IF('muut muuttujat'!$G$3=2,1,0)</f>
        <v>0</v>
      </c>
      <c r="E133">
        <f t="shared" si="1"/>
        <v>0</v>
      </c>
      <c r="F133" s="10"/>
      <c r="K133" s="1"/>
      <c r="L133" s="10"/>
    </row>
    <row r="134" spans="1:12" ht="12.75">
      <c r="A134" s="1">
        <v>123</v>
      </c>
      <c r="B134" s="10" t="s">
        <v>124</v>
      </c>
      <c r="C134">
        <f>IF('muut muuttujat'!$G$3=2,1,0)</f>
        <v>0</v>
      </c>
      <c r="E134">
        <f t="shared" si="1"/>
        <v>0</v>
      </c>
      <c r="F134" s="10">
        <v>1</v>
      </c>
      <c r="H134">
        <v>1</v>
      </c>
      <c r="K134" s="1"/>
      <c r="L134" s="10"/>
    </row>
    <row r="135" spans="1:12" ht="12.75">
      <c r="A135" s="1">
        <v>124</v>
      </c>
      <c r="B135" s="10" t="s">
        <v>125</v>
      </c>
      <c r="C135">
        <f>IF('muut muuttujat'!$G$3=2,1,0)</f>
        <v>0</v>
      </c>
      <c r="E135">
        <f t="shared" si="1"/>
        <v>0</v>
      </c>
      <c r="F135" s="10">
        <v>1</v>
      </c>
      <c r="H135">
        <v>1</v>
      </c>
      <c r="K135" s="1"/>
      <c r="L135" s="10"/>
    </row>
    <row r="136" spans="1:12" ht="12.75">
      <c r="A136" s="1">
        <v>125</v>
      </c>
      <c r="B136" s="10" t="s">
        <v>321</v>
      </c>
      <c r="C136">
        <f>IF('muut muuttujat'!$G$3=2,1,0)</f>
        <v>0</v>
      </c>
      <c r="E136">
        <f t="shared" si="1"/>
        <v>0</v>
      </c>
      <c r="F136" s="10">
        <v>1</v>
      </c>
      <c r="H136">
        <v>1</v>
      </c>
      <c r="K136" s="1"/>
      <c r="L136" s="10"/>
    </row>
    <row r="137" spans="1:12" ht="12.75">
      <c r="A137" s="1">
        <v>126</v>
      </c>
      <c r="B137" s="134" t="s">
        <v>322</v>
      </c>
      <c r="C137">
        <f>IF('muut muuttujat'!$G$3=2,1,0)</f>
        <v>0</v>
      </c>
      <c r="E137">
        <f aca="true" t="shared" si="2" ref="E137:E163">IF(C137+D137&gt;1,1,0)</f>
        <v>0</v>
      </c>
      <c r="F137" s="10">
        <v>1</v>
      </c>
      <c r="H137">
        <v>1</v>
      </c>
      <c r="K137" s="1"/>
      <c r="L137" s="10"/>
    </row>
    <row r="138" spans="1:12" ht="12.75">
      <c r="A138" s="1">
        <v>127</v>
      </c>
      <c r="B138" s="10" t="s">
        <v>126</v>
      </c>
      <c r="C138">
        <f>IF('muut muuttujat'!$G$3=2,1,0)</f>
        <v>0</v>
      </c>
      <c r="E138">
        <f t="shared" si="2"/>
        <v>0</v>
      </c>
      <c r="F138" s="10">
        <v>1</v>
      </c>
      <c r="H138">
        <v>1</v>
      </c>
      <c r="K138" s="1"/>
      <c r="L138" s="10"/>
    </row>
    <row r="139" spans="1:12" ht="12.75">
      <c r="A139" s="1">
        <v>128</v>
      </c>
      <c r="B139" s="10" t="s">
        <v>127</v>
      </c>
      <c r="C139">
        <f>IF('muut muuttujat'!$G$3=2,1,0)</f>
        <v>0</v>
      </c>
      <c r="E139">
        <f t="shared" si="2"/>
        <v>0</v>
      </c>
      <c r="F139" s="10">
        <v>1</v>
      </c>
      <c r="H139">
        <v>1</v>
      </c>
      <c r="K139" s="1"/>
      <c r="L139" s="10"/>
    </row>
    <row r="140" spans="1:12" ht="12.75">
      <c r="A140" s="1">
        <v>129</v>
      </c>
      <c r="B140" s="10" t="s">
        <v>192</v>
      </c>
      <c r="C140">
        <f>IF('muut muuttujat'!$G$3=2,1,0)</f>
        <v>0</v>
      </c>
      <c r="E140">
        <f t="shared" si="2"/>
        <v>0</v>
      </c>
      <c r="F140" s="10"/>
      <c r="K140" s="1"/>
      <c r="L140" s="10"/>
    </row>
    <row r="141" spans="1:12" ht="12.75">
      <c r="A141" s="1">
        <v>130</v>
      </c>
      <c r="B141" s="10" t="s">
        <v>14</v>
      </c>
      <c r="C141">
        <f>IF('muut muuttujat'!$G$3=2,1,0)</f>
        <v>0</v>
      </c>
      <c r="E141">
        <f t="shared" si="2"/>
        <v>0</v>
      </c>
      <c r="F141" s="10">
        <v>1</v>
      </c>
      <c r="K141" s="1"/>
      <c r="L141" s="10"/>
    </row>
    <row r="142" spans="1:12" ht="12.75">
      <c r="A142" s="1">
        <v>131</v>
      </c>
      <c r="B142" s="10" t="s">
        <v>15</v>
      </c>
      <c r="C142">
        <f>IF('muut muuttujat'!$G$3=2,1,0)</f>
        <v>0</v>
      </c>
      <c r="E142">
        <f t="shared" si="2"/>
        <v>0</v>
      </c>
      <c r="F142" s="10">
        <v>1</v>
      </c>
      <c r="K142" s="1"/>
      <c r="L142" s="10"/>
    </row>
    <row r="143" spans="1:12" ht="12.75">
      <c r="A143" s="1">
        <v>132</v>
      </c>
      <c r="B143" s="10" t="s">
        <v>16</v>
      </c>
      <c r="C143">
        <f>IF('muut muuttujat'!$G$3=2,1,0)</f>
        <v>0</v>
      </c>
      <c r="E143">
        <f t="shared" si="2"/>
        <v>0</v>
      </c>
      <c r="F143" s="10">
        <v>1</v>
      </c>
      <c r="K143" s="1"/>
      <c r="L143" s="10"/>
    </row>
    <row r="144" spans="1:12" ht="12.75">
      <c r="A144" s="1">
        <v>133</v>
      </c>
      <c r="B144" s="10" t="s">
        <v>17</v>
      </c>
      <c r="C144">
        <f>IF('muut muuttujat'!$G$3=2,1,0)</f>
        <v>0</v>
      </c>
      <c r="E144">
        <f t="shared" si="2"/>
        <v>0</v>
      </c>
      <c r="F144" s="10">
        <v>1</v>
      </c>
      <c r="K144" s="1"/>
      <c r="L144" s="10"/>
    </row>
    <row r="145" spans="1:12" ht="12.75">
      <c r="A145" s="1">
        <v>134</v>
      </c>
      <c r="B145" s="10" t="s">
        <v>11</v>
      </c>
      <c r="C145">
        <f>IF('muut muuttujat'!$G$3=2,1,0)</f>
        <v>0</v>
      </c>
      <c r="E145">
        <f t="shared" si="2"/>
        <v>0</v>
      </c>
      <c r="F145" s="10">
        <v>1</v>
      </c>
      <c r="K145" s="1"/>
      <c r="L145" s="10"/>
    </row>
    <row r="146" spans="1:12" ht="12.75">
      <c r="A146" s="1">
        <v>135</v>
      </c>
      <c r="B146" s="10" t="s">
        <v>12</v>
      </c>
      <c r="C146">
        <f>IF('muut muuttujat'!$G$3=2,1,0)</f>
        <v>0</v>
      </c>
      <c r="E146">
        <f t="shared" si="2"/>
        <v>0</v>
      </c>
      <c r="F146" s="10">
        <v>1</v>
      </c>
      <c r="K146" s="1"/>
      <c r="L146" s="10"/>
    </row>
    <row r="147" spans="1:12" ht="12.75">
      <c r="A147" s="1">
        <v>136</v>
      </c>
      <c r="B147" s="10" t="s">
        <v>13</v>
      </c>
      <c r="C147">
        <f>IF('muut muuttujat'!$G$3=2,1,0)</f>
        <v>0</v>
      </c>
      <c r="E147">
        <f t="shared" si="2"/>
        <v>0</v>
      </c>
      <c r="F147" s="10">
        <v>1</v>
      </c>
      <c r="K147" s="1"/>
      <c r="L147" s="10"/>
    </row>
    <row r="148" spans="1:12" ht="12.75">
      <c r="A148" s="1">
        <v>137</v>
      </c>
      <c r="B148" s="10" t="s">
        <v>21</v>
      </c>
      <c r="C148">
        <f>IF('muut muuttujat'!$G$3=2,1,0)</f>
        <v>0</v>
      </c>
      <c r="E148">
        <f t="shared" si="2"/>
        <v>0</v>
      </c>
      <c r="F148" s="10">
        <v>1</v>
      </c>
      <c r="H148">
        <v>1</v>
      </c>
      <c r="K148" s="1"/>
      <c r="L148" s="10"/>
    </row>
    <row r="149" spans="1:12" ht="12.75">
      <c r="A149" s="1">
        <v>138</v>
      </c>
      <c r="B149" s="10" t="s">
        <v>22</v>
      </c>
      <c r="C149">
        <f>IF('muut muuttujat'!$G$3=2,1,0)</f>
        <v>0</v>
      </c>
      <c r="E149">
        <f t="shared" si="2"/>
        <v>0</v>
      </c>
      <c r="F149" s="10">
        <v>1</v>
      </c>
      <c r="H149">
        <v>1</v>
      </c>
      <c r="K149" s="1"/>
      <c r="L149" s="10"/>
    </row>
    <row r="150" spans="1:12" ht="12.75">
      <c r="A150" s="1">
        <v>139</v>
      </c>
      <c r="B150" s="10" t="s">
        <v>23</v>
      </c>
      <c r="C150">
        <f>IF('muut muuttujat'!$G$3=2,1,0)</f>
        <v>0</v>
      </c>
      <c r="E150">
        <f t="shared" si="2"/>
        <v>0</v>
      </c>
      <c r="F150" s="10">
        <v>1</v>
      </c>
      <c r="H150">
        <v>1</v>
      </c>
      <c r="K150" s="1"/>
      <c r="L150" s="10"/>
    </row>
    <row r="151" spans="1:12" ht="12.75">
      <c r="A151" s="1">
        <v>140</v>
      </c>
      <c r="B151" s="10" t="s">
        <v>24</v>
      </c>
      <c r="C151">
        <f>IF('muut muuttujat'!$G$3=2,1,0)</f>
        <v>0</v>
      </c>
      <c r="E151">
        <f t="shared" si="2"/>
        <v>0</v>
      </c>
      <c r="F151" s="10">
        <v>1</v>
      </c>
      <c r="H151">
        <v>1</v>
      </c>
      <c r="K151" s="1"/>
      <c r="L151" s="10"/>
    </row>
    <row r="152" spans="1:12" ht="12.75">
      <c r="A152" s="1">
        <v>141</v>
      </c>
      <c r="B152" s="10" t="s">
        <v>18</v>
      </c>
      <c r="C152">
        <f>IF('muut muuttujat'!$G$3=2,1,0)</f>
        <v>0</v>
      </c>
      <c r="E152">
        <f t="shared" si="2"/>
        <v>0</v>
      </c>
      <c r="F152" s="10">
        <v>1</v>
      </c>
      <c r="H152">
        <v>1</v>
      </c>
      <c r="K152" s="1"/>
      <c r="L152" s="10"/>
    </row>
    <row r="153" spans="1:12" ht="12.75">
      <c r="A153" s="1">
        <v>142</v>
      </c>
      <c r="B153" s="10" t="s">
        <v>19</v>
      </c>
      <c r="C153">
        <f>IF('muut muuttujat'!$G$3=2,1,0)</f>
        <v>0</v>
      </c>
      <c r="E153">
        <f t="shared" si="2"/>
        <v>0</v>
      </c>
      <c r="F153" s="10">
        <v>1</v>
      </c>
      <c r="H153">
        <v>1</v>
      </c>
      <c r="K153" s="1"/>
      <c r="L153" s="10"/>
    </row>
    <row r="154" spans="1:12" ht="12.75">
      <c r="A154" s="1">
        <v>143</v>
      </c>
      <c r="B154" s="10" t="s">
        <v>20</v>
      </c>
      <c r="C154">
        <f>IF('muut muuttujat'!$G$3=2,1,0)</f>
        <v>0</v>
      </c>
      <c r="E154">
        <f t="shared" si="2"/>
        <v>0</v>
      </c>
      <c r="F154" s="10">
        <v>1</v>
      </c>
      <c r="H154">
        <v>1</v>
      </c>
      <c r="K154" s="1"/>
      <c r="L154" s="10"/>
    </row>
    <row r="155" spans="1:12" ht="12.75">
      <c r="A155" s="1">
        <v>144</v>
      </c>
      <c r="B155" s="10" t="s">
        <v>197</v>
      </c>
      <c r="C155">
        <f>IF('muut muuttujat'!$G$3=2,1,0)</f>
        <v>0</v>
      </c>
      <c r="E155">
        <f t="shared" si="2"/>
        <v>0</v>
      </c>
      <c r="K155" s="1"/>
      <c r="L155" s="10"/>
    </row>
    <row r="156" spans="1:12" ht="12.75">
      <c r="A156" s="1">
        <v>145</v>
      </c>
      <c r="B156" s="10" t="s">
        <v>198</v>
      </c>
      <c r="C156">
        <f>IF('muut muuttujat'!$G$3=2,1,0)</f>
        <v>0</v>
      </c>
      <c r="E156">
        <f t="shared" si="2"/>
        <v>0</v>
      </c>
      <c r="K156" s="1"/>
      <c r="L156" s="10"/>
    </row>
    <row r="157" spans="1:12" ht="12.75">
      <c r="A157" s="1">
        <v>146</v>
      </c>
      <c r="B157" s="10" t="s">
        <v>91</v>
      </c>
      <c r="C157">
        <f>IF('muut muuttujat'!$G$3=2,1,0)</f>
        <v>0</v>
      </c>
      <c r="E157">
        <f t="shared" si="2"/>
        <v>0</v>
      </c>
      <c r="F157">
        <v>1</v>
      </c>
      <c r="K157" s="1"/>
      <c r="L157" s="10"/>
    </row>
    <row r="158" spans="1:12" ht="12.75">
      <c r="A158" s="1">
        <v>147</v>
      </c>
      <c r="B158" s="10" t="s">
        <v>93</v>
      </c>
      <c r="C158">
        <f>IF('muut muuttujat'!$G$3=2,1,0)</f>
        <v>0</v>
      </c>
      <c r="E158">
        <f t="shared" si="2"/>
        <v>0</v>
      </c>
      <c r="F158">
        <v>1</v>
      </c>
      <c r="K158" s="1"/>
      <c r="L158" s="10"/>
    </row>
    <row r="159" spans="1:12" ht="12.75">
      <c r="A159" s="1">
        <v>148</v>
      </c>
      <c r="B159" s="10" t="s">
        <v>92</v>
      </c>
      <c r="C159">
        <f>IF('muut muuttujat'!$G$3=2,1,0)</f>
        <v>0</v>
      </c>
      <c r="E159">
        <f t="shared" si="2"/>
        <v>0</v>
      </c>
      <c r="F159">
        <v>1</v>
      </c>
      <c r="K159" s="1"/>
      <c r="L159" s="10"/>
    </row>
    <row r="160" spans="1:12" ht="12.75">
      <c r="A160" s="1">
        <v>149</v>
      </c>
      <c r="B160" s="10" t="s">
        <v>90</v>
      </c>
      <c r="C160">
        <f>IF('muut muuttujat'!$G$3=2,1,0)</f>
        <v>0</v>
      </c>
      <c r="E160">
        <f t="shared" si="2"/>
        <v>0</v>
      </c>
      <c r="F160">
        <v>1</v>
      </c>
      <c r="K160" s="1"/>
      <c r="L160" s="10"/>
    </row>
    <row r="161" spans="1:12" ht="12.75">
      <c r="A161" s="1">
        <v>150</v>
      </c>
      <c r="B161" s="10" t="s">
        <v>199</v>
      </c>
      <c r="C161">
        <f>IF('muut muuttujat'!$G$3=2,1,0)</f>
        <v>0</v>
      </c>
      <c r="E161">
        <f t="shared" si="2"/>
        <v>0</v>
      </c>
      <c r="F161">
        <v>1</v>
      </c>
      <c r="H161">
        <v>1</v>
      </c>
      <c r="K161" s="1"/>
      <c r="L161" s="10"/>
    </row>
    <row r="162" spans="1:12" ht="12.75">
      <c r="A162" s="1">
        <v>151</v>
      </c>
      <c r="B162" s="10" t="s">
        <v>95</v>
      </c>
      <c r="C162">
        <f>IF('muut muuttujat'!$G$3=2,1,0)</f>
        <v>0</v>
      </c>
      <c r="E162">
        <f t="shared" si="2"/>
        <v>0</v>
      </c>
      <c r="F162">
        <v>1</v>
      </c>
      <c r="H162">
        <v>1</v>
      </c>
      <c r="K162" s="1"/>
      <c r="L162" s="10"/>
    </row>
    <row r="163" spans="1:12" ht="12.75">
      <c r="A163" s="1">
        <v>152</v>
      </c>
      <c r="B163" s="10" t="s">
        <v>94</v>
      </c>
      <c r="C163">
        <f>IF('muut muuttujat'!$G$3=2,1,0)</f>
        <v>0</v>
      </c>
      <c r="E163">
        <f t="shared" si="2"/>
        <v>0</v>
      </c>
      <c r="F163">
        <v>1</v>
      </c>
      <c r="H163">
        <v>1</v>
      </c>
      <c r="K163" s="1"/>
      <c r="L163" s="10"/>
    </row>
    <row r="164" spans="1:12" ht="12.75">
      <c r="A164" s="1">
        <v>153</v>
      </c>
      <c r="B164" s="10" t="s">
        <v>278</v>
      </c>
      <c r="I164">
        <v>1</v>
      </c>
      <c r="K164" s="1"/>
      <c r="L164" s="10"/>
    </row>
    <row r="165" spans="1:12" ht="12.75">
      <c r="A165" s="1">
        <v>154</v>
      </c>
      <c r="B165" s="10" t="s">
        <v>279</v>
      </c>
      <c r="I165">
        <v>1</v>
      </c>
      <c r="K165" s="1"/>
      <c r="L165" s="10"/>
    </row>
    <row r="166" spans="1:12" ht="12.75">
      <c r="A166" s="1">
        <v>155</v>
      </c>
      <c r="B166" s="10" t="s">
        <v>280</v>
      </c>
      <c r="I166">
        <v>1</v>
      </c>
      <c r="K166" s="1"/>
      <c r="L166" s="10"/>
    </row>
    <row r="167" spans="1:12" ht="12.75">
      <c r="A167" s="1">
        <v>156</v>
      </c>
      <c r="B167" s="10" t="s">
        <v>206</v>
      </c>
      <c r="C167">
        <f>IF('muut muuttujat'!$G$3=2,1,0)</f>
        <v>0</v>
      </c>
      <c r="E167">
        <f>IF(C167+D167&gt;1,1,0)</f>
        <v>0</v>
      </c>
      <c r="K167" s="1"/>
      <c r="L167" s="10"/>
    </row>
    <row r="168" spans="1:12" ht="12.75">
      <c r="A168" s="1">
        <v>157</v>
      </c>
      <c r="B168" s="10" t="s">
        <v>207</v>
      </c>
      <c r="C168">
        <f>IF('muut muuttujat'!$G$3=2,1,0)</f>
        <v>0</v>
      </c>
      <c r="E168">
        <f>IF(C168+D168&gt;1,1,0)</f>
        <v>0</v>
      </c>
      <c r="K168" s="1"/>
      <c r="L168" s="10"/>
    </row>
    <row r="169" spans="1:12" ht="12.75">
      <c r="A169" s="1">
        <v>158</v>
      </c>
      <c r="B169" s="10" t="s">
        <v>208</v>
      </c>
      <c r="C169">
        <f>IF('muut muuttujat'!$G$3=2,1,0)</f>
        <v>0</v>
      </c>
      <c r="E169">
        <f>IF(C169+D169&gt;1,1,0)</f>
        <v>0</v>
      </c>
      <c r="K169" s="1"/>
      <c r="L169" s="10"/>
    </row>
    <row r="170" spans="1:12" ht="12.75">
      <c r="A170" s="1">
        <v>159</v>
      </c>
      <c r="B170" s="10" t="s">
        <v>209</v>
      </c>
      <c r="C170">
        <f>IF('muut muuttujat'!$G$3=2,1,0)</f>
        <v>0</v>
      </c>
      <c r="E170">
        <f>IF(C170+D170&gt;1,1,0)</f>
        <v>0</v>
      </c>
      <c r="K170" s="1"/>
      <c r="L170" s="10"/>
    </row>
    <row r="171" spans="1:12" ht="12.75">
      <c r="A171" s="1">
        <v>160</v>
      </c>
      <c r="B171" s="1" t="s">
        <v>281</v>
      </c>
      <c r="I171">
        <v>1</v>
      </c>
      <c r="K171" s="1"/>
      <c r="L171" s="10"/>
    </row>
    <row r="172" spans="1:12" ht="12.75">
      <c r="A172" s="1">
        <v>161</v>
      </c>
      <c r="B172" s="10" t="s">
        <v>282</v>
      </c>
      <c r="C172">
        <f>IF('muut muuttujat'!$G$3=2,1,0)</f>
        <v>0</v>
      </c>
      <c r="E172">
        <f aca="true" t="shared" si="3" ref="E172:E177">IF(C172+D172&gt;1,1,0)</f>
        <v>0</v>
      </c>
      <c r="K172" s="1"/>
      <c r="L172" s="10"/>
    </row>
    <row r="173" spans="1:12" ht="12.75">
      <c r="A173" s="1">
        <v>162</v>
      </c>
      <c r="B173" s="10" t="s">
        <v>283</v>
      </c>
      <c r="C173">
        <f>IF('muut muuttujat'!$G$3=2,1,0)</f>
        <v>0</v>
      </c>
      <c r="E173">
        <f t="shared" si="3"/>
        <v>0</v>
      </c>
      <c r="K173" s="1"/>
      <c r="L173" s="10"/>
    </row>
    <row r="174" spans="1:12" ht="12.75">
      <c r="A174" s="1">
        <v>163</v>
      </c>
      <c r="B174" s="10" t="s">
        <v>284</v>
      </c>
      <c r="C174">
        <f>IF('muut muuttujat'!$G$3=2,1,0)</f>
        <v>0</v>
      </c>
      <c r="E174">
        <f t="shared" si="3"/>
        <v>0</v>
      </c>
      <c r="K174" s="1"/>
      <c r="L174" s="10"/>
    </row>
    <row r="175" spans="1:12" ht="12.75">
      <c r="A175" s="1">
        <v>164</v>
      </c>
      <c r="B175" s="10" t="s">
        <v>285</v>
      </c>
      <c r="C175">
        <f>IF('muut muuttujat'!$G$3=2,1,0)</f>
        <v>0</v>
      </c>
      <c r="E175">
        <f t="shared" si="3"/>
        <v>0</v>
      </c>
      <c r="K175" s="1"/>
      <c r="L175" s="10"/>
    </row>
    <row r="176" spans="1:12" ht="12.75">
      <c r="A176" s="1">
        <v>165</v>
      </c>
      <c r="B176" s="10" t="s">
        <v>286</v>
      </c>
      <c r="C176">
        <f>IF('muut muuttujat'!$G$3=2,1,0)</f>
        <v>0</v>
      </c>
      <c r="E176">
        <f t="shared" si="3"/>
        <v>0</v>
      </c>
      <c r="F176">
        <v>1</v>
      </c>
      <c r="K176" s="1"/>
      <c r="L176" s="10"/>
    </row>
    <row r="177" spans="1:12" ht="12.75">
      <c r="A177" s="1">
        <v>166</v>
      </c>
      <c r="B177" s="10" t="s">
        <v>287</v>
      </c>
      <c r="C177">
        <f>IF('muut muuttujat'!$G$3=2,1,0)</f>
        <v>0</v>
      </c>
      <c r="E177">
        <f t="shared" si="3"/>
        <v>0</v>
      </c>
      <c r="F177">
        <v>1</v>
      </c>
      <c r="K177" s="1"/>
      <c r="L177" s="10"/>
    </row>
    <row r="178" spans="1:12" ht="12.75">
      <c r="A178" s="1">
        <v>167</v>
      </c>
      <c r="B178" s="10" t="s">
        <v>288</v>
      </c>
      <c r="I178">
        <v>2</v>
      </c>
      <c r="K178" s="1"/>
      <c r="L178" s="10"/>
    </row>
    <row r="179" spans="1:12" ht="12.75">
      <c r="A179" s="1">
        <v>168</v>
      </c>
      <c r="B179" s="10" t="s">
        <v>200</v>
      </c>
      <c r="C179">
        <f>IF('muut muuttujat'!$G$3=2,1,0)</f>
        <v>0</v>
      </c>
      <c r="E179">
        <f aca="true" t="shared" si="4" ref="E179:E184">IF(C179+D179&gt;1,1,0)</f>
        <v>0</v>
      </c>
      <c r="K179" s="1"/>
      <c r="L179" s="10"/>
    </row>
    <row r="180" spans="1:12" ht="12.75">
      <c r="A180" s="1">
        <v>169</v>
      </c>
      <c r="B180" s="10" t="s">
        <v>201</v>
      </c>
      <c r="C180">
        <f>IF('muut muuttujat'!$G$3=2,1,0)</f>
        <v>0</v>
      </c>
      <c r="E180">
        <f t="shared" si="4"/>
        <v>0</v>
      </c>
      <c r="F180">
        <v>1</v>
      </c>
      <c r="K180" s="1"/>
      <c r="L180" s="10"/>
    </row>
    <row r="181" spans="1:12" ht="12.75">
      <c r="A181" s="1">
        <v>170</v>
      </c>
      <c r="B181" s="10" t="s">
        <v>202</v>
      </c>
      <c r="C181">
        <f>IF('muut muuttujat'!$G$3=2,1,0)</f>
        <v>0</v>
      </c>
      <c r="E181">
        <f t="shared" si="4"/>
        <v>0</v>
      </c>
      <c r="F181">
        <v>1</v>
      </c>
      <c r="K181" s="1"/>
      <c r="L181" s="10"/>
    </row>
    <row r="182" spans="1:12" ht="12.75">
      <c r="A182" s="1">
        <v>171</v>
      </c>
      <c r="B182" s="10" t="s">
        <v>203</v>
      </c>
      <c r="C182">
        <f>IF('muut muuttujat'!$G$3=2,1,0)</f>
        <v>0</v>
      </c>
      <c r="E182">
        <f t="shared" si="4"/>
        <v>0</v>
      </c>
      <c r="K182" s="1"/>
      <c r="L182" s="10"/>
    </row>
    <row r="183" spans="1:12" ht="12.75">
      <c r="A183" s="1">
        <v>172</v>
      </c>
      <c r="B183" s="10" t="s">
        <v>204</v>
      </c>
      <c r="C183">
        <f>IF('muut muuttujat'!$G$3=2,1,0)</f>
        <v>0</v>
      </c>
      <c r="E183">
        <f t="shared" si="4"/>
        <v>0</v>
      </c>
      <c r="K183" s="1"/>
      <c r="L183" s="10"/>
    </row>
    <row r="184" spans="1:12" ht="12.75">
      <c r="A184" s="1">
        <v>173</v>
      </c>
      <c r="B184" s="10" t="s">
        <v>205</v>
      </c>
      <c r="C184">
        <f>IF('muut muuttujat'!$G$3=2,1,0)</f>
        <v>0</v>
      </c>
      <c r="E184">
        <f t="shared" si="4"/>
        <v>0</v>
      </c>
      <c r="K184" s="1"/>
      <c r="L184" s="10"/>
    </row>
    <row r="185" spans="1:12" ht="12.75">
      <c r="A185" s="1">
        <v>174</v>
      </c>
      <c r="B185" s="1" t="s">
        <v>288</v>
      </c>
      <c r="I185">
        <v>2</v>
      </c>
      <c r="K185" s="1"/>
      <c r="L185" s="10"/>
    </row>
    <row r="206" ht="12.75">
      <c r="B206" s="15"/>
    </row>
    <row r="207" ht="12.75">
      <c r="B207" s="3"/>
    </row>
    <row r="209" ht="12.75">
      <c r="B209" s="16"/>
    </row>
    <row r="211" ht="12.75">
      <c r="B211" s="15"/>
    </row>
    <row r="218" ht="12.75">
      <c r="B218" s="12"/>
    </row>
    <row r="219" ht="12.75">
      <c r="B219" s="18"/>
    </row>
    <row r="221" ht="12.75">
      <c r="B221" s="16"/>
    </row>
    <row r="237" ht="12.75">
      <c r="B237" s="3"/>
    </row>
    <row r="241" ht="12.75">
      <c r="B241" s="3"/>
    </row>
    <row r="247" ht="12.75">
      <c r="B247" s="3"/>
    </row>
    <row r="253" ht="12.75">
      <c r="B253" s="3"/>
    </row>
    <row r="260" ht="12.75">
      <c r="B260" s="3"/>
    </row>
    <row r="264" ht="12.75">
      <c r="B264" s="3"/>
    </row>
    <row r="269" ht="12.75">
      <c r="B269" s="13"/>
    </row>
    <row r="270" ht="12.75">
      <c r="B270" s="13"/>
    </row>
    <row r="272" ht="12.75">
      <c r="B272" s="13"/>
    </row>
    <row r="273" ht="12.75">
      <c r="B273" s="13"/>
    </row>
    <row r="274" ht="12.75">
      <c r="B274" s="3"/>
    </row>
    <row r="280" ht="12.75">
      <c r="B280" s="3"/>
    </row>
    <row r="281" ht="12.75">
      <c r="B281" s="13"/>
    </row>
    <row r="284" ht="12.75">
      <c r="B28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A1:AG277"/>
  <sheetViews>
    <sheetView zoomScale="90" zoomScaleNormal="90" zoomScalePageLayoutView="0" workbookViewId="0" topLeftCell="A1">
      <pane xSplit="2" ySplit="5" topLeftCell="C6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1" width="5.00390625" style="1" customWidth="1"/>
    <col min="2" max="2" width="67.28125" style="1" customWidth="1"/>
    <col min="3" max="3" width="10.421875" style="1" customWidth="1"/>
    <col min="4" max="4" width="8.00390625" style="3" customWidth="1"/>
    <col min="5" max="5" width="8.140625" style="1" customWidth="1"/>
    <col min="6" max="6" width="8.28125" style="1" customWidth="1"/>
    <col min="7" max="7" width="8.28125" style="0" customWidth="1"/>
    <col min="8" max="10" width="8.28125" style="2" customWidth="1"/>
    <col min="11" max="15" width="8.28125" style="1" customWidth="1"/>
    <col min="16" max="16" width="12.00390625" style="1" customWidth="1"/>
    <col min="17" max="17" width="14.57421875" style="1" customWidth="1"/>
    <col min="18" max="19" width="7.57421875" style="1" customWidth="1"/>
    <col min="20" max="23" width="5.421875" style="1" customWidth="1"/>
    <col min="24" max="29" width="6.57421875" style="1" customWidth="1"/>
    <col min="30" max="30" width="9.140625" style="1" customWidth="1"/>
    <col min="31" max="31" width="9.7109375" style="1" bestFit="1" customWidth="1"/>
    <col min="32" max="16384" width="9.140625" style="1" customWidth="1"/>
  </cols>
  <sheetData>
    <row r="1" spans="2:11" ht="16.5">
      <c r="B1" s="4" t="s">
        <v>702</v>
      </c>
      <c r="C1" s="126" t="s">
        <v>698</v>
      </c>
      <c r="G1" s="1"/>
      <c r="I1" s="5"/>
      <c r="J1" s="5"/>
      <c r="K1" s="5"/>
    </row>
    <row r="2" spans="5:17" ht="12.75">
      <c r="E2" s="11"/>
      <c r="F2" s="11"/>
      <c r="G2" s="11"/>
      <c r="H2" s="11"/>
      <c r="I2" s="11"/>
      <c r="J2" s="11"/>
      <c r="O2" s="11"/>
      <c r="P2" s="11"/>
      <c r="Q2" s="11"/>
    </row>
    <row r="3" spans="1:11" ht="13.5" thickBot="1">
      <c r="A3" s="1" t="s">
        <v>25</v>
      </c>
      <c r="C3" s="7" t="s">
        <v>128</v>
      </c>
      <c r="D3" s="7" t="s">
        <v>128</v>
      </c>
      <c r="E3" s="9" t="s">
        <v>129</v>
      </c>
      <c r="F3" s="9" t="s">
        <v>129</v>
      </c>
      <c r="G3" s="1"/>
      <c r="I3" s="5"/>
      <c r="J3" s="5"/>
      <c r="K3" s="5"/>
    </row>
    <row r="4" spans="1:29" ht="13.5" thickBot="1">
      <c r="A4" s="23">
        <v>1</v>
      </c>
      <c r="B4" s="8" t="s">
        <v>1</v>
      </c>
      <c r="C4" s="9" t="s">
        <v>30</v>
      </c>
      <c r="D4" s="9" t="s">
        <v>30</v>
      </c>
      <c r="E4" s="9" t="s">
        <v>30</v>
      </c>
      <c r="F4" s="9" t="s">
        <v>30</v>
      </c>
      <c r="G4" s="3" t="s">
        <v>29</v>
      </c>
      <c r="H4" s="3" t="s">
        <v>29</v>
      </c>
      <c r="I4" s="9" t="s">
        <v>32</v>
      </c>
      <c r="J4" s="9" t="s">
        <v>32</v>
      </c>
      <c r="K4" s="9" t="s">
        <v>33</v>
      </c>
      <c r="L4" s="9" t="s">
        <v>33</v>
      </c>
      <c r="M4" s="3" t="s">
        <v>34</v>
      </c>
      <c r="N4" s="3" t="s">
        <v>34</v>
      </c>
      <c r="O4" s="3" t="s">
        <v>35</v>
      </c>
      <c r="P4" s="3" t="s">
        <v>35</v>
      </c>
      <c r="Q4" s="3" t="s">
        <v>289</v>
      </c>
      <c r="R4" s="65" t="s">
        <v>146</v>
      </c>
      <c r="S4" s="65"/>
      <c r="T4" s="61"/>
      <c r="U4" s="61"/>
      <c r="V4" s="61"/>
      <c r="W4" s="64"/>
      <c r="X4" s="65" t="s">
        <v>159</v>
      </c>
      <c r="Y4" s="65"/>
      <c r="Z4" s="61"/>
      <c r="AA4" s="61"/>
      <c r="AB4" s="61"/>
      <c r="AC4" s="64"/>
    </row>
    <row r="5" spans="2:29" ht="13.5" thickBot="1">
      <c r="B5" s="3" t="s">
        <v>4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290</v>
      </c>
      <c r="R5" s="99" t="s">
        <v>152</v>
      </c>
      <c r="S5" s="100" t="s">
        <v>147</v>
      </c>
      <c r="T5" s="101" t="s">
        <v>148</v>
      </c>
      <c r="U5" s="101" t="s">
        <v>149</v>
      </c>
      <c r="V5" s="101" t="s">
        <v>150</v>
      </c>
      <c r="W5" s="102" t="s">
        <v>151</v>
      </c>
      <c r="X5" s="99" t="s">
        <v>152</v>
      </c>
      <c r="Y5" s="100" t="s">
        <v>147</v>
      </c>
      <c r="Z5" s="101" t="s">
        <v>148</v>
      </c>
      <c r="AA5" s="101" t="s">
        <v>149</v>
      </c>
      <c r="AB5" s="101" t="s">
        <v>150</v>
      </c>
      <c r="AC5" s="102" t="s">
        <v>151</v>
      </c>
    </row>
    <row r="6" spans="1:29" ht="12.75">
      <c r="A6" s="1">
        <v>1</v>
      </c>
      <c r="B6" s="10" t="s">
        <v>331</v>
      </c>
      <c r="C6" s="200">
        <f>VLOOKUP(MID(B6,1,8)-0,'palkat 1.12.2018'!$B$9:$G$223,3,FALSE)</f>
        <v>3742.79</v>
      </c>
      <c r="D6" s="200">
        <f>VLOOKUP(MID(B6,1,8)-0,'palkat 1.12.2018'!$B$9:$G$223,5,FALSE)</f>
        <v>3706.98</v>
      </c>
      <c r="E6" s="11">
        <f>IF('muut muuttujat'!$G$3=1,C6,KÄYTTÖTAULU!$B$13)</f>
        <v>3742.79</v>
      </c>
      <c r="F6" s="11">
        <f>IF('muut muuttujat'!$G$3=1,D6,KÄYTTÖTAULU!$B$13)</f>
        <v>3706.98</v>
      </c>
      <c r="G6" s="11"/>
      <c r="H6" s="336" t="s">
        <v>703</v>
      </c>
      <c r="I6" s="11"/>
      <c r="J6" s="11"/>
      <c r="O6" s="11"/>
      <c r="P6" s="11"/>
      <c r="Q6" s="11"/>
      <c r="R6" s="60">
        <v>0</v>
      </c>
      <c r="S6" s="62">
        <v>0</v>
      </c>
      <c r="T6" s="62">
        <v>0</v>
      </c>
      <c r="U6" s="62">
        <v>5</v>
      </c>
      <c r="V6" s="62">
        <v>5</v>
      </c>
      <c r="W6" s="63">
        <v>10</v>
      </c>
      <c r="X6" s="62">
        <v>1</v>
      </c>
      <c r="Y6" s="62">
        <f>1+S6/100</f>
        <v>1</v>
      </c>
      <c r="Z6" s="62">
        <f>(1+T6/100)*Y6</f>
        <v>1</v>
      </c>
      <c r="AA6" s="62">
        <f>(1+U6/100)*Z6</f>
        <v>1.05</v>
      </c>
      <c r="AB6" s="62">
        <f>(1+V6/100)*AA6</f>
        <v>1.1025</v>
      </c>
      <c r="AC6" s="63">
        <f>(1+W6/100)*AB6</f>
        <v>1.2127500000000002</v>
      </c>
    </row>
    <row r="7" spans="1:29" ht="12.75">
      <c r="A7" s="1">
        <v>2</v>
      </c>
      <c r="B7" s="10" t="s">
        <v>332</v>
      </c>
      <c r="C7" s="200">
        <f>VLOOKUP(MID(B7,1,8)-0,'palkat 1.12.2018'!$B$9:$G$223,3,FALSE)</f>
        <v>3866.22</v>
      </c>
      <c r="D7" s="200">
        <f>VLOOKUP(MID(B7,1,8)-0,'palkat 1.12.2018'!$B$9:$G$223,5,FALSE)</f>
        <v>3829.23</v>
      </c>
      <c r="E7" s="11">
        <f>IF('muut muuttujat'!$G$3=1,C7,KÄYTTÖTAULU!$B$13)</f>
        <v>3866.22</v>
      </c>
      <c r="F7" s="11">
        <f>IF('muut muuttujat'!$G$3=1,D7,KÄYTTÖTAULU!$B$13)</f>
        <v>3829.23</v>
      </c>
      <c r="G7" s="11"/>
      <c r="H7" s="336"/>
      <c r="I7" s="11"/>
      <c r="J7" s="11"/>
      <c r="O7" s="11"/>
      <c r="P7" s="11"/>
      <c r="Q7" s="11"/>
      <c r="R7" s="24">
        <v>0</v>
      </c>
      <c r="S7" s="25">
        <v>0</v>
      </c>
      <c r="T7" s="25">
        <v>0</v>
      </c>
      <c r="U7" s="25">
        <v>5</v>
      </c>
      <c r="V7" s="25">
        <v>5</v>
      </c>
      <c r="W7" s="50">
        <v>10</v>
      </c>
      <c r="X7" s="25">
        <v>1</v>
      </c>
      <c r="Y7" s="25">
        <f aca="true" t="shared" si="0" ref="Y7:Y73">1+S7/100</f>
        <v>1</v>
      </c>
      <c r="Z7" s="25">
        <f aca="true" t="shared" si="1" ref="Z7:Z73">(1+T7/100)*Y7</f>
        <v>1</v>
      </c>
      <c r="AA7" s="25">
        <f aca="true" t="shared" si="2" ref="AA7:AA73">(1+U7/100)*Z7</f>
        <v>1.05</v>
      </c>
      <c r="AB7" s="25">
        <f>(1+V7/100)*AA7</f>
        <v>1.1025</v>
      </c>
      <c r="AC7" s="50">
        <f>(1+W7/100)*AB7</f>
        <v>1.2127500000000002</v>
      </c>
    </row>
    <row r="8" spans="1:29" ht="12.75">
      <c r="A8" s="1">
        <v>3</v>
      </c>
      <c r="B8" s="10" t="s">
        <v>519</v>
      </c>
      <c r="C8" s="200">
        <f>VLOOKUP(MID(B8,1,8)-0,'palkat 1.12.2018'!$B$9:$G$223,3,FALSE)</f>
        <v>4019.61</v>
      </c>
      <c r="D8" s="200">
        <f>VLOOKUP(MID(B8,1,8)-0,'palkat 1.12.2018'!$B$9:$G$223,5,FALSE)</f>
        <v>3981.12</v>
      </c>
      <c r="E8" s="11">
        <f>IF('muut muuttujat'!$G$3=1,C8,KÄYTTÖTAULU!$B$13)</f>
        <v>4019.61</v>
      </c>
      <c r="F8" s="11">
        <f>IF('muut muuttujat'!$G$3=1,D8,KÄYTTÖTAULU!$B$13)</f>
        <v>3981.12</v>
      </c>
      <c r="G8" s="11"/>
      <c r="H8" s="11"/>
      <c r="I8" s="11"/>
      <c r="J8" s="11"/>
      <c r="O8" s="11"/>
      <c r="P8" s="11"/>
      <c r="Q8" s="11"/>
      <c r="R8" s="24">
        <v>0</v>
      </c>
      <c r="S8" s="25">
        <v>0</v>
      </c>
      <c r="T8" s="25">
        <v>0</v>
      </c>
      <c r="U8" s="25">
        <v>5</v>
      </c>
      <c r="V8" s="25">
        <v>5</v>
      </c>
      <c r="W8" s="50">
        <v>10</v>
      </c>
      <c r="X8" s="25">
        <v>1</v>
      </c>
      <c r="Y8" s="25">
        <f t="shared" si="0"/>
        <v>1</v>
      </c>
      <c r="Z8" s="25">
        <f t="shared" si="1"/>
        <v>1</v>
      </c>
      <c r="AA8" s="25">
        <f t="shared" si="2"/>
        <v>1.05</v>
      </c>
      <c r="AB8" s="25">
        <f>(1+V8/100)*AA8</f>
        <v>1.1025</v>
      </c>
      <c r="AC8" s="50">
        <f aca="true" t="shared" si="3" ref="AC8:AC74">(1+W8/100)*AB8</f>
        <v>1.2127500000000002</v>
      </c>
    </row>
    <row r="9" spans="1:29" ht="12.75">
      <c r="A9" s="1">
        <v>4</v>
      </c>
      <c r="B9" s="10" t="s">
        <v>520</v>
      </c>
      <c r="C9" s="200">
        <f>VLOOKUP(MID(B9,1,8)-0,'palkat 1.12.2018'!$B$9:$G$223,3,FALSE)</f>
        <v>4190.45</v>
      </c>
      <c r="D9" s="200">
        <f>VLOOKUP(MID(B9,1,8)-0,'palkat 1.12.2018'!$B$9:$G$223,5,FALSE)</f>
        <v>4150.33</v>
      </c>
      <c r="E9" s="11">
        <f>IF('muut muuttujat'!$G$3=1,C9,KÄYTTÖTAULU!$B$13)</f>
        <v>4190.45</v>
      </c>
      <c r="F9" s="11">
        <f>IF('muut muuttujat'!$G$3=1,D9,KÄYTTÖTAULU!$B$13)</f>
        <v>4150.33</v>
      </c>
      <c r="G9" s="11"/>
      <c r="H9" s="11"/>
      <c r="I9" s="11"/>
      <c r="J9" s="11"/>
      <c r="O9" s="11"/>
      <c r="P9" s="11"/>
      <c r="Q9" s="11"/>
      <c r="R9" s="24">
        <v>0</v>
      </c>
      <c r="S9" s="25">
        <v>0</v>
      </c>
      <c r="T9" s="25">
        <v>0</v>
      </c>
      <c r="U9" s="25">
        <v>5</v>
      </c>
      <c r="V9" s="25">
        <v>5</v>
      </c>
      <c r="W9" s="50">
        <v>10</v>
      </c>
      <c r="X9" s="25">
        <v>1</v>
      </c>
      <c r="Y9" s="25">
        <f aca="true" t="shared" si="4" ref="Y9:Y15">1+S9/100</f>
        <v>1</v>
      </c>
      <c r="Z9" s="25">
        <f aca="true" t="shared" si="5" ref="Z9:Z15">(1+T9/100)*Y9</f>
        <v>1</v>
      </c>
      <c r="AA9" s="25">
        <f aca="true" t="shared" si="6" ref="AA9:AA15">(1+U9/100)*Z9</f>
        <v>1.05</v>
      </c>
      <c r="AB9" s="25">
        <f aca="true" t="shared" si="7" ref="AB9:AB15">(1+V9/100)*AA9</f>
        <v>1.1025</v>
      </c>
      <c r="AC9" s="50">
        <f aca="true" t="shared" si="8" ref="AC9:AC15">(1+W9/100)*AB9</f>
        <v>1.2127500000000002</v>
      </c>
    </row>
    <row r="10" spans="1:29" ht="12.75">
      <c r="A10" s="1">
        <v>5</v>
      </c>
      <c r="B10" s="10" t="s">
        <v>333</v>
      </c>
      <c r="C10" s="200">
        <f>VLOOKUP(MID(B10,1,8)-0,'palkat 1.12.2018'!$B$9:$G$223,3,FALSE)</f>
        <v>3866.22</v>
      </c>
      <c r="D10" s="200">
        <f>VLOOKUP(MID(B10,1,8)-0,'palkat 1.12.2018'!$B$9:$G$223,5,FALSE)</f>
        <v>3829.23</v>
      </c>
      <c r="E10" s="11">
        <f>IF('muut muuttujat'!$G$3=1,C10,KÄYTTÖTAULU!$B$13)</f>
        <v>3866.22</v>
      </c>
      <c r="F10" s="11">
        <f>IF('muut muuttujat'!$G$3=1,D10,KÄYTTÖTAULU!$B$13)</f>
        <v>3829.23</v>
      </c>
      <c r="G10" s="11"/>
      <c r="H10" s="11"/>
      <c r="I10" s="11"/>
      <c r="J10" s="11"/>
      <c r="O10" s="11"/>
      <c r="P10" s="11"/>
      <c r="Q10" s="11"/>
      <c r="R10" s="24">
        <v>0</v>
      </c>
      <c r="S10" s="25">
        <v>0</v>
      </c>
      <c r="T10" s="25">
        <v>0</v>
      </c>
      <c r="U10" s="25">
        <v>5</v>
      </c>
      <c r="V10" s="25">
        <v>5</v>
      </c>
      <c r="W10" s="50">
        <v>10</v>
      </c>
      <c r="X10" s="25">
        <v>1</v>
      </c>
      <c r="Y10" s="25">
        <f t="shared" si="4"/>
        <v>1</v>
      </c>
      <c r="Z10" s="25">
        <f t="shared" si="5"/>
        <v>1</v>
      </c>
      <c r="AA10" s="25">
        <f t="shared" si="6"/>
        <v>1.05</v>
      </c>
      <c r="AB10" s="25">
        <f t="shared" si="7"/>
        <v>1.1025</v>
      </c>
      <c r="AC10" s="50">
        <f t="shared" si="8"/>
        <v>1.2127500000000002</v>
      </c>
    </row>
    <row r="11" spans="1:29" ht="12.75">
      <c r="A11" s="1">
        <v>6</v>
      </c>
      <c r="B11" s="10" t="s">
        <v>334</v>
      </c>
      <c r="C11" s="200">
        <f>VLOOKUP(MID(B11,1,8)-0,'palkat 1.12.2018'!$B$9:$G$223,3,FALSE)</f>
        <v>4181.51</v>
      </c>
      <c r="D11" s="200">
        <f>VLOOKUP(MID(B11,1,8)-0,'palkat 1.12.2018'!$B$9:$G$223,5,FALSE)</f>
        <v>4141.49</v>
      </c>
      <c r="E11" s="11">
        <f>IF('muut muuttujat'!$G$3=1,C11,KÄYTTÖTAULU!$B$13)</f>
        <v>4181.51</v>
      </c>
      <c r="F11" s="11">
        <f>IF('muut muuttujat'!$G$3=1,D11,KÄYTTÖTAULU!$B$13)</f>
        <v>4141.49</v>
      </c>
      <c r="G11" s="11"/>
      <c r="H11" s="11"/>
      <c r="I11" s="11"/>
      <c r="J11" s="11"/>
      <c r="O11" s="11"/>
      <c r="P11" s="11"/>
      <c r="Q11" s="11"/>
      <c r="R11" s="24">
        <v>0</v>
      </c>
      <c r="S11" s="25">
        <v>0</v>
      </c>
      <c r="T11" s="25">
        <v>0</v>
      </c>
      <c r="U11" s="25">
        <v>5</v>
      </c>
      <c r="V11" s="25">
        <v>5</v>
      </c>
      <c r="W11" s="50">
        <v>10</v>
      </c>
      <c r="X11" s="25">
        <v>1</v>
      </c>
      <c r="Y11" s="25">
        <f t="shared" si="4"/>
        <v>1</v>
      </c>
      <c r="Z11" s="25">
        <f t="shared" si="5"/>
        <v>1</v>
      </c>
      <c r="AA11" s="25">
        <f t="shared" si="6"/>
        <v>1.05</v>
      </c>
      <c r="AB11" s="25">
        <f t="shared" si="7"/>
        <v>1.1025</v>
      </c>
      <c r="AC11" s="50">
        <f t="shared" si="8"/>
        <v>1.2127500000000002</v>
      </c>
    </row>
    <row r="12" spans="1:29" ht="12.75">
      <c r="A12" s="1">
        <v>7</v>
      </c>
      <c r="B12" s="10" t="s">
        <v>335</v>
      </c>
      <c r="C12" s="200">
        <f>VLOOKUP(MID(B12,1,8)-0,'palkat 1.12.2018'!$B$9:$G$223,3,FALSE)</f>
        <v>4363.32</v>
      </c>
      <c r="D12" s="200">
        <f>VLOOKUP(MID(B12,1,8)-0,'palkat 1.12.2018'!$B$9:$G$223,5,FALSE)</f>
        <v>4321.61</v>
      </c>
      <c r="E12" s="11">
        <f>IF('muut muuttujat'!$G$3=1,C12,KÄYTTÖTAULU!$B$13)</f>
        <v>4363.32</v>
      </c>
      <c r="F12" s="11">
        <f>IF('muut muuttujat'!$G$3=1,D12,KÄYTTÖTAULU!$B$13)</f>
        <v>4321.61</v>
      </c>
      <c r="G12" s="11"/>
      <c r="H12" s="11"/>
      <c r="I12" s="11"/>
      <c r="J12" s="11"/>
      <c r="O12" s="11"/>
      <c r="P12" s="11"/>
      <c r="Q12" s="11"/>
      <c r="R12" s="24">
        <v>0</v>
      </c>
      <c r="S12" s="25">
        <v>0</v>
      </c>
      <c r="T12" s="25">
        <v>0</v>
      </c>
      <c r="U12" s="25">
        <v>5</v>
      </c>
      <c r="V12" s="25">
        <v>5</v>
      </c>
      <c r="W12" s="50">
        <v>10</v>
      </c>
      <c r="X12" s="25">
        <v>1</v>
      </c>
      <c r="Y12" s="25">
        <f t="shared" si="4"/>
        <v>1</v>
      </c>
      <c r="Z12" s="25">
        <f t="shared" si="5"/>
        <v>1</v>
      </c>
      <c r="AA12" s="25">
        <f t="shared" si="6"/>
        <v>1.05</v>
      </c>
      <c r="AB12" s="25">
        <f t="shared" si="7"/>
        <v>1.1025</v>
      </c>
      <c r="AC12" s="50">
        <f t="shared" si="8"/>
        <v>1.2127500000000002</v>
      </c>
    </row>
    <row r="13" spans="1:29" ht="12.75">
      <c r="A13" s="1">
        <v>8</v>
      </c>
      <c r="B13" s="10" t="s">
        <v>531</v>
      </c>
      <c r="C13" s="200">
        <f>VLOOKUP(MID(B13,1,8)-0,'palkat 1.12.2018'!$B$9:$G$223,3,FALSE)</f>
        <v>4548.93</v>
      </c>
      <c r="D13" s="200">
        <f>VLOOKUP(MID(B13,1,8)-0,'palkat 1.12.2018'!$B$9:$G$223,5,FALSE)</f>
        <v>4505.39</v>
      </c>
      <c r="E13" s="11">
        <f>IF('muut muuttujat'!$G$3=1,C13,KÄYTTÖTAULU!$B$13)</f>
        <v>4548.93</v>
      </c>
      <c r="F13" s="11">
        <f>IF('muut muuttujat'!$G$3=1,D13,KÄYTTÖTAULU!$B$13)</f>
        <v>4505.39</v>
      </c>
      <c r="G13" s="11"/>
      <c r="H13" s="11"/>
      <c r="I13" s="11"/>
      <c r="J13" s="11"/>
      <c r="O13" s="11"/>
      <c r="P13" s="11"/>
      <c r="Q13" s="11"/>
      <c r="R13" s="24">
        <v>0</v>
      </c>
      <c r="S13" s="25">
        <v>0</v>
      </c>
      <c r="T13" s="25">
        <v>0</v>
      </c>
      <c r="U13" s="25">
        <v>5</v>
      </c>
      <c r="V13" s="25">
        <v>5</v>
      </c>
      <c r="W13" s="50">
        <v>10</v>
      </c>
      <c r="X13" s="25">
        <v>1</v>
      </c>
      <c r="Y13" s="25">
        <f t="shared" si="4"/>
        <v>1</v>
      </c>
      <c r="Z13" s="25">
        <f t="shared" si="5"/>
        <v>1</v>
      </c>
      <c r="AA13" s="25">
        <f t="shared" si="6"/>
        <v>1.05</v>
      </c>
      <c r="AB13" s="25">
        <f t="shared" si="7"/>
        <v>1.1025</v>
      </c>
      <c r="AC13" s="50">
        <f t="shared" si="8"/>
        <v>1.2127500000000002</v>
      </c>
    </row>
    <row r="14" spans="1:29" ht="12.75">
      <c r="A14" s="1">
        <v>9</v>
      </c>
      <c r="B14" s="10" t="s">
        <v>521</v>
      </c>
      <c r="C14" s="200">
        <f>VLOOKUP(MID(B14,1,8)-0,'palkat 1.12.2018'!$B$9:$G$223,3,FALSE)</f>
        <v>4742.27</v>
      </c>
      <c r="D14" s="200">
        <f>VLOOKUP(MID(B14,1,8)-0,'palkat 1.12.2018'!$B$9:$G$223,5,FALSE)</f>
        <v>4696.88</v>
      </c>
      <c r="E14" s="11">
        <f>IF('muut muuttujat'!$G$3=1,C14,KÄYTTÖTAULU!$B$13)</f>
        <v>4742.27</v>
      </c>
      <c r="F14" s="11">
        <f>IF('muut muuttujat'!$G$3=1,D14,KÄYTTÖTAULU!$B$13)</f>
        <v>4696.88</v>
      </c>
      <c r="G14" s="11"/>
      <c r="H14" s="11"/>
      <c r="I14" s="11"/>
      <c r="J14" s="11"/>
      <c r="O14" s="11"/>
      <c r="P14" s="11"/>
      <c r="Q14" s="11"/>
      <c r="R14" s="24">
        <v>0</v>
      </c>
      <c r="S14" s="25">
        <v>0</v>
      </c>
      <c r="T14" s="25">
        <v>0</v>
      </c>
      <c r="U14" s="25">
        <v>5</v>
      </c>
      <c r="V14" s="25">
        <v>5</v>
      </c>
      <c r="W14" s="50">
        <v>10</v>
      </c>
      <c r="X14" s="25">
        <v>1</v>
      </c>
      <c r="Y14" s="25">
        <f t="shared" si="4"/>
        <v>1</v>
      </c>
      <c r="Z14" s="25">
        <f t="shared" si="5"/>
        <v>1</v>
      </c>
      <c r="AA14" s="25">
        <f t="shared" si="6"/>
        <v>1.05</v>
      </c>
      <c r="AB14" s="25">
        <f t="shared" si="7"/>
        <v>1.1025</v>
      </c>
      <c r="AC14" s="50">
        <f t="shared" si="8"/>
        <v>1.2127500000000002</v>
      </c>
    </row>
    <row r="15" spans="1:29" ht="12.75">
      <c r="A15" s="1">
        <v>10</v>
      </c>
      <c r="B15" s="10" t="s">
        <v>336</v>
      </c>
      <c r="C15" s="200">
        <f>VLOOKUP(MID(B15,1,8)-0,'palkat 1.12.2018'!$B$9:$G$223,3,FALSE)</f>
        <v>3866.22</v>
      </c>
      <c r="D15" s="200">
        <f>VLOOKUP(MID(B15,1,8)-0,'palkat 1.12.2018'!$B$9:$G$223,5,FALSE)</f>
        <v>3829.23</v>
      </c>
      <c r="E15" s="11">
        <f>IF('muut muuttujat'!$G$3=1,C15,KÄYTTÖTAULU!$B$13)</f>
        <v>3866.22</v>
      </c>
      <c r="F15" s="11">
        <f>IF('muut muuttujat'!$G$3=1,D15,KÄYTTÖTAULU!$B$13)</f>
        <v>3829.23</v>
      </c>
      <c r="G15" s="11"/>
      <c r="H15" s="11"/>
      <c r="I15" s="11"/>
      <c r="J15" s="11"/>
      <c r="O15" s="11"/>
      <c r="P15" s="11"/>
      <c r="Q15" s="11"/>
      <c r="R15" s="24">
        <v>0</v>
      </c>
      <c r="S15" s="25">
        <v>0</v>
      </c>
      <c r="T15" s="25">
        <v>0</v>
      </c>
      <c r="U15" s="25">
        <v>5</v>
      </c>
      <c r="V15" s="25">
        <v>5</v>
      </c>
      <c r="W15" s="50">
        <v>10</v>
      </c>
      <c r="X15" s="25">
        <v>1</v>
      </c>
      <c r="Y15" s="25">
        <f t="shared" si="4"/>
        <v>1</v>
      </c>
      <c r="Z15" s="25">
        <f t="shared" si="5"/>
        <v>1</v>
      </c>
      <c r="AA15" s="25">
        <f t="shared" si="6"/>
        <v>1.05</v>
      </c>
      <c r="AB15" s="25">
        <f t="shared" si="7"/>
        <v>1.1025</v>
      </c>
      <c r="AC15" s="50">
        <f t="shared" si="8"/>
        <v>1.2127500000000002</v>
      </c>
    </row>
    <row r="16" spans="1:29" ht="12.75">
      <c r="A16" s="1">
        <v>11</v>
      </c>
      <c r="B16" s="10" t="s">
        <v>337</v>
      </c>
      <c r="C16" s="200">
        <f>VLOOKUP(MID(B16,1,8)-0,'palkat 1.12.2018'!$B$9:$G$223,3,FALSE)</f>
        <v>4019.61</v>
      </c>
      <c r="D16" s="200">
        <f>VLOOKUP(MID(B16,1,8)-0,'palkat 1.12.2018'!$B$9:$G$223,5,FALSE)</f>
        <v>3981.12</v>
      </c>
      <c r="E16" s="11">
        <f>IF('muut muuttujat'!$G$3=1,C16,KÄYTTÖTAULU!$B$13)</f>
        <v>4019.61</v>
      </c>
      <c r="F16" s="11">
        <f>IF('muut muuttujat'!$G$3=1,D16,KÄYTTÖTAULU!$B$13)</f>
        <v>3981.12</v>
      </c>
      <c r="G16" s="11"/>
      <c r="H16" s="11"/>
      <c r="I16" s="11"/>
      <c r="J16" s="11"/>
      <c r="O16" s="11"/>
      <c r="P16" s="11"/>
      <c r="Q16" s="11"/>
      <c r="R16" s="24">
        <v>0</v>
      </c>
      <c r="S16" s="25">
        <v>0</v>
      </c>
      <c r="T16" s="25">
        <v>0</v>
      </c>
      <c r="U16" s="25">
        <v>5</v>
      </c>
      <c r="V16" s="25">
        <v>5</v>
      </c>
      <c r="W16" s="50">
        <v>10</v>
      </c>
      <c r="X16" s="25">
        <v>1</v>
      </c>
      <c r="Y16" s="25">
        <f t="shared" si="0"/>
        <v>1</v>
      </c>
      <c r="Z16" s="25">
        <f t="shared" si="1"/>
        <v>1</v>
      </c>
      <c r="AA16" s="25">
        <f t="shared" si="2"/>
        <v>1.05</v>
      </c>
      <c r="AB16" s="25">
        <f aca="true" t="shared" si="9" ref="AB16:AB24">(1+V16/100)*AA16</f>
        <v>1.1025</v>
      </c>
      <c r="AC16" s="50">
        <f t="shared" si="3"/>
        <v>1.2127500000000002</v>
      </c>
    </row>
    <row r="17" spans="1:29" ht="12.75">
      <c r="A17" s="1">
        <v>12</v>
      </c>
      <c r="B17" s="10" t="s">
        <v>338</v>
      </c>
      <c r="C17" s="200">
        <f>VLOOKUP(MID(B17,1,8)-0,'palkat 1.12.2018'!$B$9:$G$223,3,FALSE)</f>
        <v>4363.32</v>
      </c>
      <c r="D17" s="200">
        <f>VLOOKUP(MID(B17,1,8)-0,'palkat 1.12.2018'!$B$9:$G$223,5,FALSE)</f>
        <v>4321.61</v>
      </c>
      <c r="E17" s="11">
        <f>IF('muut muuttujat'!$G$3=1,C17,KÄYTTÖTAULU!$B$13)</f>
        <v>4363.32</v>
      </c>
      <c r="F17" s="11">
        <f>IF('muut muuttujat'!$G$3=1,D17,KÄYTTÖTAULU!$B$13)</f>
        <v>4321.61</v>
      </c>
      <c r="G17" s="11"/>
      <c r="H17" s="11"/>
      <c r="I17" s="11"/>
      <c r="J17" s="11"/>
      <c r="O17" s="11"/>
      <c r="P17" s="11"/>
      <c r="Q17" s="11"/>
      <c r="R17" s="24">
        <v>0</v>
      </c>
      <c r="S17" s="25">
        <v>0</v>
      </c>
      <c r="T17" s="25">
        <v>0</v>
      </c>
      <c r="U17" s="25">
        <v>5</v>
      </c>
      <c r="V17" s="25">
        <v>5</v>
      </c>
      <c r="W17" s="50">
        <v>10</v>
      </c>
      <c r="X17" s="25">
        <v>1</v>
      </c>
      <c r="Y17" s="25">
        <f t="shared" si="0"/>
        <v>1</v>
      </c>
      <c r="Z17" s="25">
        <f t="shared" si="1"/>
        <v>1</v>
      </c>
      <c r="AA17" s="25">
        <f t="shared" si="2"/>
        <v>1.05</v>
      </c>
      <c r="AB17" s="25">
        <f t="shared" si="9"/>
        <v>1.1025</v>
      </c>
      <c r="AC17" s="50">
        <f t="shared" si="3"/>
        <v>1.2127500000000002</v>
      </c>
    </row>
    <row r="18" spans="1:29" ht="12.75">
      <c r="A18" s="1">
        <v>13</v>
      </c>
      <c r="B18" s="10" t="s">
        <v>339</v>
      </c>
      <c r="C18" s="200">
        <f>VLOOKUP(MID(B18,1,8)-0,'palkat 1.12.2018'!$B$9:$G$223,3,FALSE)</f>
        <v>4548.93</v>
      </c>
      <c r="D18" s="200">
        <f>VLOOKUP(MID(B18,1,8)-0,'palkat 1.12.2018'!$B$9:$G$223,5,FALSE)</f>
        <v>4505.39</v>
      </c>
      <c r="E18" s="11">
        <f>IF('muut muuttujat'!$G$3=1,C18,KÄYTTÖTAULU!$B$13)</f>
        <v>4548.93</v>
      </c>
      <c r="F18" s="11">
        <f>IF('muut muuttujat'!$G$3=1,D18,KÄYTTÖTAULU!$B$13)</f>
        <v>4505.39</v>
      </c>
      <c r="G18" s="11"/>
      <c r="H18" s="11"/>
      <c r="I18" s="11"/>
      <c r="J18" s="11"/>
      <c r="O18" s="11"/>
      <c r="P18" s="11"/>
      <c r="Q18" s="11"/>
      <c r="R18" s="24">
        <v>0</v>
      </c>
      <c r="S18" s="25">
        <v>0</v>
      </c>
      <c r="T18" s="25">
        <v>0</v>
      </c>
      <c r="U18" s="25">
        <v>5</v>
      </c>
      <c r="V18" s="25">
        <v>5</v>
      </c>
      <c r="W18" s="50">
        <v>10</v>
      </c>
      <c r="X18" s="25">
        <v>1</v>
      </c>
      <c r="Y18" s="25">
        <f t="shared" si="0"/>
        <v>1</v>
      </c>
      <c r="Z18" s="25">
        <f t="shared" si="1"/>
        <v>1</v>
      </c>
      <c r="AA18" s="25">
        <f t="shared" si="2"/>
        <v>1.05</v>
      </c>
      <c r="AB18" s="25">
        <f t="shared" si="9"/>
        <v>1.1025</v>
      </c>
      <c r="AC18" s="50">
        <f t="shared" si="3"/>
        <v>1.2127500000000002</v>
      </c>
    </row>
    <row r="19" spans="1:29" ht="12.75">
      <c r="A19" s="1">
        <v>14</v>
      </c>
      <c r="B19" s="10" t="s">
        <v>340</v>
      </c>
      <c r="C19" s="200" t="s">
        <v>700</v>
      </c>
      <c r="D19" s="200" t="s">
        <v>700</v>
      </c>
      <c r="E19" s="11" t="str">
        <f>IF('muut muuttujat'!$G$3=1,C19,KÄYTTÖTAULU!$B$13)</f>
        <v>% rehtorista</v>
      </c>
      <c r="F19" s="11" t="str">
        <f>IF('muut muuttujat'!$G$3=1,D19,KÄYTTÖTAULU!$B$13)</f>
        <v>% rehtorista</v>
      </c>
      <c r="G19" s="11"/>
      <c r="H19" s="200"/>
      <c r="I19" s="11"/>
      <c r="J19" s="11"/>
      <c r="O19" s="11"/>
      <c r="P19" s="11"/>
      <c r="Q19" s="11"/>
      <c r="R19" s="24">
        <v>0</v>
      </c>
      <c r="S19" s="25">
        <v>0</v>
      </c>
      <c r="T19" s="25">
        <v>0</v>
      </c>
      <c r="U19" s="25">
        <v>5</v>
      </c>
      <c r="V19" s="25">
        <v>5</v>
      </c>
      <c r="W19" s="50">
        <v>10</v>
      </c>
      <c r="X19" s="25">
        <v>1</v>
      </c>
      <c r="Y19" s="25">
        <f t="shared" si="0"/>
        <v>1</v>
      </c>
      <c r="Z19" s="25">
        <f t="shared" si="1"/>
        <v>1</v>
      </c>
      <c r="AA19" s="25">
        <f t="shared" si="2"/>
        <v>1.05</v>
      </c>
      <c r="AB19" s="25">
        <f t="shared" si="9"/>
        <v>1.1025</v>
      </c>
      <c r="AC19" s="50">
        <f t="shared" si="3"/>
        <v>1.2127500000000002</v>
      </c>
    </row>
    <row r="20" spans="1:29" ht="12.75">
      <c r="A20" s="1">
        <v>15</v>
      </c>
      <c r="B20" s="10" t="s">
        <v>341</v>
      </c>
      <c r="C20" s="200" t="s">
        <v>700</v>
      </c>
      <c r="D20" s="200" t="s">
        <v>700</v>
      </c>
      <c r="E20" s="11" t="str">
        <f>IF('muut muuttujat'!$G$3=1,C20,KÄYTTÖTAULU!$B$13)</f>
        <v>% rehtorista</v>
      </c>
      <c r="F20" s="11" t="str">
        <f>IF('muut muuttujat'!$G$3=1,D20,KÄYTTÖTAULU!$B$13)</f>
        <v>% rehtorista</v>
      </c>
      <c r="G20" s="11"/>
      <c r="H20" s="200"/>
      <c r="I20" s="11"/>
      <c r="J20" s="11"/>
      <c r="O20" s="11"/>
      <c r="P20" s="11"/>
      <c r="Q20" s="11"/>
      <c r="R20" s="24">
        <v>0</v>
      </c>
      <c r="S20" s="25">
        <v>0</v>
      </c>
      <c r="T20" s="25">
        <v>0</v>
      </c>
      <c r="U20" s="25">
        <v>5</v>
      </c>
      <c r="V20" s="25">
        <v>5</v>
      </c>
      <c r="W20" s="50">
        <v>10</v>
      </c>
      <c r="X20" s="25">
        <v>1</v>
      </c>
      <c r="Y20" s="25">
        <f t="shared" si="0"/>
        <v>1</v>
      </c>
      <c r="Z20" s="25">
        <f t="shared" si="1"/>
        <v>1</v>
      </c>
      <c r="AA20" s="25">
        <f t="shared" si="2"/>
        <v>1.05</v>
      </c>
      <c r="AB20" s="25">
        <f t="shared" si="9"/>
        <v>1.1025</v>
      </c>
      <c r="AC20" s="50">
        <f t="shared" si="3"/>
        <v>1.2127500000000002</v>
      </c>
    </row>
    <row r="21" spans="1:29" ht="12.75">
      <c r="A21" s="1">
        <v>16</v>
      </c>
      <c r="B21" s="10" t="s">
        <v>342</v>
      </c>
      <c r="C21" s="200">
        <f>VLOOKUP(MID(B21,1,8)-0,'palkat 1.12.2018'!$B$9:$G$223,3,FALSE)</f>
        <v>4422.82</v>
      </c>
      <c r="D21" s="200">
        <f>VLOOKUP(MID(B21,1,8)-0,'palkat 1.12.2018'!$B$9:$G$223,5,FALSE)</f>
        <v>4380.49</v>
      </c>
      <c r="E21" s="11">
        <f>IF('muut muuttujat'!$G$3=1,C21,KÄYTTÖTAULU!$B$13)</f>
        <v>4422.82</v>
      </c>
      <c r="F21" s="11">
        <f>IF('muut muuttujat'!$G$3=1,D21,KÄYTTÖTAULU!$B$13)</f>
        <v>4380.49</v>
      </c>
      <c r="G21" s="11"/>
      <c r="H21" s="11"/>
      <c r="I21" s="11"/>
      <c r="J21" s="11"/>
      <c r="O21" s="11"/>
      <c r="P21" s="11"/>
      <c r="Q21" s="11"/>
      <c r="R21" s="24">
        <v>0</v>
      </c>
      <c r="S21" s="25">
        <v>0</v>
      </c>
      <c r="T21" s="25">
        <v>0</v>
      </c>
      <c r="U21" s="25">
        <v>5</v>
      </c>
      <c r="V21" s="25">
        <v>5</v>
      </c>
      <c r="W21" s="50">
        <v>10</v>
      </c>
      <c r="X21" s="25">
        <v>1</v>
      </c>
      <c r="Y21" s="25">
        <f t="shared" si="0"/>
        <v>1</v>
      </c>
      <c r="Z21" s="25">
        <f t="shared" si="1"/>
        <v>1</v>
      </c>
      <c r="AA21" s="25">
        <f t="shared" si="2"/>
        <v>1.05</v>
      </c>
      <c r="AB21" s="25">
        <f t="shared" si="9"/>
        <v>1.1025</v>
      </c>
      <c r="AC21" s="50">
        <f t="shared" si="3"/>
        <v>1.2127500000000002</v>
      </c>
    </row>
    <row r="22" spans="1:29" ht="12.75">
      <c r="A22" s="1">
        <v>17</v>
      </c>
      <c r="B22" s="10" t="s">
        <v>343</v>
      </c>
      <c r="C22" s="200">
        <f>VLOOKUP(MID(B22,1,8)-0,'palkat 1.12.2018'!$B$9:$G$223,3,FALSE)</f>
        <v>4422.82</v>
      </c>
      <c r="D22" s="200">
        <f>VLOOKUP(MID(B22,1,8)-0,'palkat 1.12.2018'!$B$9:$G$223,5,FALSE)</f>
        <v>4380.49</v>
      </c>
      <c r="E22" s="11">
        <f>IF('muut muuttujat'!$G$3=1,C22,KÄYTTÖTAULU!$B$13)</f>
        <v>4422.82</v>
      </c>
      <c r="F22" s="11">
        <f>IF('muut muuttujat'!$G$3=1,D22,KÄYTTÖTAULU!$B$13)</f>
        <v>4380.49</v>
      </c>
      <c r="G22" s="11"/>
      <c r="H22" s="11"/>
      <c r="I22" s="11"/>
      <c r="J22" s="11"/>
      <c r="O22" s="11"/>
      <c r="P22" s="11"/>
      <c r="Q22" s="11"/>
      <c r="R22" s="24">
        <v>0</v>
      </c>
      <c r="S22" s="25">
        <v>0</v>
      </c>
      <c r="T22" s="25">
        <v>0</v>
      </c>
      <c r="U22" s="25">
        <v>5</v>
      </c>
      <c r="V22" s="25">
        <v>5</v>
      </c>
      <c r="W22" s="50">
        <v>10</v>
      </c>
      <c r="X22" s="25">
        <v>1</v>
      </c>
      <c r="Y22" s="25">
        <f t="shared" si="0"/>
        <v>1</v>
      </c>
      <c r="Z22" s="25">
        <f t="shared" si="1"/>
        <v>1</v>
      </c>
      <c r="AA22" s="25">
        <f t="shared" si="2"/>
        <v>1.05</v>
      </c>
      <c r="AB22" s="25">
        <f t="shared" si="9"/>
        <v>1.1025</v>
      </c>
      <c r="AC22" s="50">
        <f t="shared" si="3"/>
        <v>1.2127500000000002</v>
      </c>
    </row>
    <row r="23" spans="1:29" ht="12.75">
      <c r="A23" s="1">
        <v>18</v>
      </c>
      <c r="B23" s="10" t="s">
        <v>344</v>
      </c>
      <c r="C23" s="200">
        <f>VLOOKUP(MID(B23,1,8)-0,'palkat 1.12.2018'!$B$9:$G$223,3,FALSE)</f>
        <v>3018.17</v>
      </c>
      <c r="D23" s="200">
        <f>VLOOKUP(MID(B23,1,8)-0,'palkat 1.12.2018'!$B$9:$G$223,5,FALSE)</f>
        <v>2989.43</v>
      </c>
      <c r="E23" s="11">
        <f>IF('muut muuttujat'!$G$3=1,C23,KÄYTTÖTAULU!$B$13)</f>
        <v>3018.17</v>
      </c>
      <c r="F23" s="11">
        <f>IF('muut muuttujat'!$G$3=1,D23,KÄYTTÖTAULU!$B$13)</f>
        <v>2989.43</v>
      </c>
      <c r="G23" s="11"/>
      <c r="H23" s="11"/>
      <c r="I23" s="11"/>
      <c r="J23" s="11"/>
      <c r="O23" s="11"/>
      <c r="P23" s="11"/>
      <c r="Q23" s="11"/>
      <c r="R23" s="24">
        <v>0</v>
      </c>
      <c r="S23" s="25">
        <v>2</v>
      </c>
      <c r="T23" s="25">
        <v>3</v>
      </c>
      <c r="U23" s="25">
        <v>5</v>
      </c>
      <c r="V23" s="25">
        <v>11</v>
      </c>
      <c r="W23" s="50">
        <v>0</v>
      </c>
      <c r="X23" s="25">
        <v>1</v>
      </c>
      <c r="Y23" s="25">
        <f t="shared" si="0"/>
        <v>1.02</v>
      </c>
      <c r="Z23" s="25">
        <f t="shared" si="1"/>
        <v>1.0506</v>
      </c>
      <c r="AA23" s="25">
        <f t="shared" si="2"/>
        <v>1.10313</v>
      </c>
      <c r="AB23" s="25">
        <f t="shared" si="9"/>
        <v>1.2244743</v>
      </c>
      <c r="AC23" s="50">
        <f t="shared" si="3"/>
        <v>1.2244743</v>
      </c>
    </row>
    <row r="24" spans="1:29" ht="12.75">
      <c r="A24" s="1">
        <v>19</v>
      </c>
      <c r="B24" s="10" t="s">
        <v>345</v>
      </c>
      <c r="C24" s="200" t="s">
        <v>701</v>
      </c>
      <c r="D24" s="200" t="s">
        <v>701</v>
      </c>
      <c r="E24" s="11" t="str">
        <f>IF('muut muuttujat'!$G$3=1,C24,KÄYTTÖTAULU!$B$13)</f>
        <v>epäpät %</v>
      </c>
      <c r="F24" s="11" t="str">
        <f>IF('muut muuttujat'!$G$3=1,D24,KÄYTTÖTAULU!$B$13)</f>
        <v>epäpät %</v>
      </c>
      <c r="G24" s="11"/>
      <c r="H24" s="200"/>
      <c r="I24" s="11"/>
      <c r="J24" s="11"/>
      <c r="O24" s="11"/>
      <c r="P24" s="11"/>
      <c r="Q24" s="11"/>
      <c r="R24" s="24">
        <v>0</v>
      </c>
      <c r="S24" s="25">
        <v>2</v>
      </c>
      <c r="T24" s="25">
        <v>3</v>
      </c>
      <c r="U24" s="25">
        <v>5</v>
      </c>
      <c r="V24" s="25">
        <v>11</v>
      </c>
      <c r="W24" s="50">
        <v>0</v>
      </c>
      <c r="X24" s="25">
        <v>1</v>
      </c>
      <c r="Y24" s="25">
        <f t="shared" si="0"/>
        <v>1.02</v>
      </c>
      <c r="Z24" s="25">
        <f t="shared" si="1"/>
        <v>1.0506</v>
      </c>
      <c r="AA24" s="25">
        <f t="shared" si="2"/>
        <v>1.10313</v>
      </c>
      <c r="AB24" s="25">
        <f t="shared" si="9"/>
        <v>1.2244743</v>
      </c>
      <c r="AC24" s="50">
        <f t="shared" si="3"/>
        <v>1.2244743</v>
      </c>
    </row>
    <row r="25" spans="1:29" ht="12.75">
      <c r="A25" s="1">
        <v>20</v>
      </c>
      <c r="B25" s="10" t="s">
        <v>514</v>
      </c>
      <c r="C25" s="200">
        <f>VLOOKUP(MID(B25,1,8)-0,'palkat 1.12.2018'!$B$9:$G$223,3,FALSE)</f>
        <v>3819.32</v>
      </c>
      <c r="D25" s="200">
        <f>VLOOKUP(MID(B25,1,8)-0,'palkat 1.12.2018'!$B$9:$G$223,5,FALSE)</f>
        <v>3787.56</v>
      </c>
      <c r="E25" s="11">
        <f>IF('muut muuttujat'!$G$3=1,C25,KÄYTTÖTAULU!$B$13)</f>
        <v>3819.32</v>
      </c>
      <c r="F25" s="11">
        <f>IF('muut muuttujat'!$G$3=1,D25,KÄYTTÖTAULU!$B$13)</f>
        <v>3787.56</v>
      </c>
      <c r="G25" s="11"/>
      <c r="H25" s="11"/>
      <c r="I25" s="11"/>
      <c r="J25" s="11"/>
      <c r="O25" s="11"/>
      <c r="P25" s="11"/>
      <c r="Q25" s="11"/>
      <c r="R25" s="24">
        <v>0</v>
      </c>
      <c r="S25" s="25">
        <v>2</v>
      </c>
      <c r="T25" s="25">
        <v>3</v>
      </c>
      <c r="U25" s="25">
        <v>5</v>
      </c>
      <c r="V25" s="25">
        <v>11</v>
      </c>
      <c r="W25" s="50">
        <v>0</v>
      </c>
      <c r="X25" s="25">
        <v>2</v>
      </c>
      <c r="Y25" s="25">
        <f>1+S25/100</f>
        <v>1.02</v>
      </c>
      <c r="Z25" s="25">
        <f aca="true" t="shared" si="10" ref="Z25:AC26">(1+T25/100)*Y25</f>
        <v>1.0506</v>
      </c>
      <c r="AA25" s="25">
        <f t="shared" si="10"/>
        <v>1.10313</v>
      </c>
      <c r="AB25" s="25">
        <f t="shared" si="10"/>
        <v>1.2244743</v>
      </c>
      <c r="AC25" s="50">
        <f t="shared" si="10"/>
        <v>1.2244743</v>
      </c>
    </row>
    <row r="26" spans="1:29" ht="12.75">
      <c r="A26" s="1">
        <v>21</v>
      </c>
      <c r="B26" s="10" t="s">
        <v>515</v>
      </c>
      <c r="C26" s="200" t="s">
        <v>701</v>
      </c>
      <c r="D26" s="200" t="s">
        <v>701</v>
      </c>
      <c r="E26" s="11" t="str">
        <f>IF('muut muuttujat'!$G$3=1,C26,KÄYTTÖTAULU!$B$13)</f>
        <v>epäpät %</v>
      </c>
      <c r="F26" s="11" t="str">
        <f>IF('muut muuttujat'!$G$3=1,D26,KÄYTTÖTAULU!$B$13)</f>
        <v>epäpät %</v>
      </c>
      <c r="G26" s="11"/>
      <c r="H26" s="11"/>
      <c r="I26" s="11"/>
      <c r="J26" s="11"/>
      <c r="O26" s="11"/>
      <c r="P26" s="11"/>
      <c r="Q26" s="11"/>
      <c r="R26" s="24">
        <v>0</v>
      </c>
      <c r="S26" s="25">
        <v>2</v>
      </c>
      <c r="T26" s="25">
        <v>3</v>
      </c>
      <c r="U26" s="25">
        <v>5</v>
      </c>
      <c r="V26" s="25">
        <v>11</v>
      </c>
      <c r="W26" s="50">
        <v>0</v>
      </c>
      <c r="X26" s="25">
        <v>3</v>
      </c>
      <c r="Y26" s="25">
        <f>1+S26/100</f>
        <v>1.02</v>
      </c>
      <c r="Z26" s="25">
        <f t="shared" si="10"/>
        <v>1.0506</v>
      </c>
      <c r="AA26" s="25">
        <f t="shared" si="10"/>
        <v>1.10313</v>
      </c>
      <c r="AB26" s="25">
        <f t="shared" si="10"/>
        <v>1.2244743</v>
      </c>
      <c r="AC26" s="50">
        <f t="shared" si="10"/>
        <v>1.2244743</v>
      </c>
    </row>
    <row r="27" spans="1:29" ht="12.75">
      <c r="A27" s="1">
        <v>22</v>
      </c>
      <c r="B27" s="10" t="s">
        <v>346</v>
      </c>
      <c r="C27" s="200">
        <f>VLOOKUP(MID(B27,1,8)-0,'palkat 1.12.2018'!$B$9:$G$223,3,FALSE)</f>
        <v>2872.98</v>
      </c>
      <c r="D27" s="200">
        <f>VLOOKUP(MID(B27,1,8)-0,'palkat 1.12.2018'!$B$9:$G$223,5,FALSE)</f>
        <v>2845.8</v>
      </c>
      <c r="E27" s="11">
        <f>IF('muut muuttujat'!$G$3=1,C27,KÄYTTÖTAULU!$B$13)</f>
        <v>2872.98</v>
      </c>
      <c r="F27" s="11">
        <f>IF('muut muuttujat'!$G$3=1,D27,KÄYTTÖTAULU!$B$13)</f>
        <v>2845.8</v>
      </c>
      <c r="G27" s="11">
        <f>KÄYTTÖTAULU!$F$6</f>
        <v>0</v>
      </c>
      <c r="H27" s="11">
        <f>KÄYTTÖTAULU!$F$6</f>
        <v>0</v>
      </c>
      <c r="I27" s="11">
        <f aca="true" t="shared" si="11" ref="I27:I73">G27*0.83</f>
        <v>0</v>
      </c>
      <c r="J27" s="11">
        <f>H27*0.83</f>
        <v>0</v>
      </c>
      <c r="K27" s="1" t="e">
        <f>ROUND(I27/KÄYTTÖTAULU!$I$8,2)</f>
        <v>#DIV/0!</v>
      </c>
      <c r="L27" s="1" t="e">
        <f>ROUND(J27/KÄYTTÖTAULU!$I$8,2)</f>
        <v>#DIV/0!</v>
      </c>
      <c r="M27" s="1" t="e">
        <f aca="true" t="shared" si="12" ref="M27:M73">ROUND(K27*(12/38),2)</f>
        <v>#DIV/0!</v>
      </c>
      <c r="N27" s="1" t="e">
        <f aca="true" t="shared" si="13" ref="N27:N73">ROUND(L27*(12/38),2)</f>
        <v>#DIV/0!</v>
      </c>
      <c r="O27" s="11"/>
      <c r="P27" s="11"/>
      <c r="Q27" s="11"/>
      <c r="R27" s="24">
        <v>0</v>
      </c>
      <c r="S27" s="25">
        <v>4</v>
      </c>
      <c r="T27" s="25">
        <v>4</v>
      </c>
      <c r="U27" s="25">
        <v>6</v>
      </c>
      <c r="V27" s="25">
        <v>6</v>
      </c>
      <c r="W27" s="50">
        <v>6</v>
      </c>
      <c r="X27" s="25">
        <v>1</v>
      </c>
      <c r="Y27" s="25">
        <f t="shared" si="0"/>
        <v>1.04</v>
      </c>
      <c r="Z27" s="25">
        <f t="shared" si="1"/>
        <v>1.0816000000000001</v>
      </c>
      <c r="AA27" s="25">
        <f t="shared" si="2"/>
        <v>1.1464960000000002</v>
      </c>
      <c r="AB27" s="25">
        <f aca="true" t="shared" si="14" ref="AB27:AB87">(1+V27/100)*AA27</f>
        <v>1.2152857600000002</v>
      </c>
      <c r="AC27" s="50">
        <f t="shared" si="3"/>
        <v>1.2882029056000004</v>
      </c>
    </row>
    <row r="28" spans="1:29" ht="12.75">
      <c r="A28" s="1">
        <v>23</v>
      </c>
      <c r="B28" s="10" t="s">
        <v>347</v>
      </c>
      <c r="C28" s="200">
        <f>VLOOKUP(MID(B28,1,8)-0,'palkat 1.12.2018'!$B$9:$G$223,3,FALSE)</f>
        <v>2678.39</v>
      </c>
      <c r="D28" s="200">
        <f>VLOOKUP(MID(B28,1,8)-0,'palkat 1.12.2018'!$B$9:$G$223,5,FALSE)</f>
        <v>2653.08</v>
      </c>
      <c r="E28" s="11">
        <f>IF('muut muuttujat'!$G$3=1,C28,KÄYTTÖTAULU!$B$13)</f>
        <v>2678.39</v>
      </c>
      <c r="F28" s="11">
        <f>IF('muut muuttujat'!$G$3=1,D28,KÄYTTÖTAULU!$B$13)</f>
        <v>2653.08</v>
      </c>
      <c r="G28" s="11">
        <f>KÄYTTÖTAULU!$F$6</f>
        <v>0</v>
      </c>
      <c r="H28" s="11">
        <f>KÄYTTÖTAULU!$F$6</f>
        <v>0</v>
      </c>
      <c r="I28" s="11">
        <f t="shared" si="11"/>
        <v>0</v>
      </c>
      <c r="J28" s="11">
        <f>H28*0.83</f>
        <v>0</v>
      </c>
      <c r="K28" s="1" t="e">
        <f>ROUND(I28/KÄYTTÖTAULU!$I$8,2)</f>
        <v>#DIV/0!</v>
      </c>
      <c r="L28" s="1" t="e">
        <f>ROUND(J28/KÄYTTÖTAULU!$I$8,2)</f>
        <v>#DIV/0!</v>
      </c>
      <c r="M28" s="1" t="e">
        <f t="shared" si="12"/>
        <v>#DIV/0!</v>
      </c>
      <c r="N28" s="1" t="e">
        <f t="shared" si="13"/>
        <v>#DIV/0!</v>
      </c>
      <c r="O28" s="11"/>
      <c r="P28" s="11"/>
      <c r="Q28" s="11"/>
      <c r="R28" s="24">
        <v>0</v>
      </c>
      <c r="S28" s="25">
        <v>4</v>
      </c>
      <c r="T28" s="25">
        <v>4</v>
      </c>
      <c r="U28" s="25">
        <v>6</v>
      </c>
      <c r="V28" s="25">
        <v>6</v>
      </c>
      <c r="W28" s="50">
        <v>6</v>
      </c>
      <c r="X28" s="25">
        <v>1</v>
      </c>
      <c r="Y28" s="25">
        <f t="shared" si="0"/>
        <v>1.04</v>
      </c>
      <c r="Z28" s="25">
        <f t="shared" si="1"/>
        <v>1.0816000000000001</v>
      </c>
      <c r="AA28" s="25">
        <f t="shared" si="2"/>
        <v>1.1464960000000002</v>
      </c>
      <c r="AB28" s="25">
        <f t="shared" si="14"/>
        <v>1.2152857600000002</v>
      </c>
      <c r="AC28" s="50">
        <f t="shared" si="3"/>
        <v>1.2882029056000004</v>
      </c>
    </row>
    <row r="29" spans="1:29" ht="12.75">
      <c r="A29" s="1">
        <v>24</v>
      </c>
      <c r="B29" s="10" t="s">
        <v>348</v>
      </c>
      <c r="C29" s="200">
        <f>VLOOKUP(MID(B29,1,8)-0,'palkat 1.12.2018'!$B$9:$G$223,3,FALSE)</f>
        <v>2347.7</v>
      </c>
      <c r="D29" s="200">
        <f>VLOOKUP(MID(B29,1,8)-0,'palkat 1.12.2018'!$B$9:$G$223,5,FALSE)</f>
        <v>2325.5</v>
      </c>
      <c r="E29" s="11">
        <f>IF('muut muuttujat'!$G$3=1,C29,KÄYTTÖTAULU!$B$13)</f>
        <v>2347.7</v>
      </c>
      <c r="F29" s="11">
        <f>IF('muut muuttujat'!$G$3=1,D29,KÄYTTÖTAULU!$B$13)</f>
        <v>2325.5</v>
      </c>
      <c r="G29" s="11">
        <f>KÄYTTÖTAULU!$F$6</f>
        <v>0</v>
      </c>
      <c r="H29" s="11">
        <f>KÄYTTÖTAULU!$F$6</f>
        <v>0</v>
      </c>
      <c r="I29" s="11">
        <f t="shared" si="11"/>
        <v>0</v>
      </c>
      <c r="J29" s="11">
        <f aca="true" t="shared" si="15" ref="J29:J82">H29*0.83</f>
        <v>0</v>
      </c>
      <c r="K29" s="1" t="e">
        <f>ROUND(I29/KÄYTTÖTAULU!$I$8,2)</f>
        <v>#DIV/0!</v>
      </c>
      <c r="L29" s="1" t="e">
        <f>ROUND(J29/KÄYTTÖTAULU!$I$8,2)</f>
        <v>#DIV/0!</v>
      </c>
      <c r="M29" s="1" t="e">
        <f t="shared" si="12"/>
        <v>#DIV/0!</v>
      </c>
      <c r="N29" s="1" t="e">
        <f t="shared" si="13"/>
        <v>#DIV/0!</v>
      </c>
      <c r="O29" s="11"/>
      <c r="P29" s="11"/>
      <c r="Q29" s="11"/>
      <c r="R29" s="24">
        <v>0</v>
      </c>
      <c r="S29" s="25">
        <v>4</v>
      </c>
      <c r="T29" s="25">
        <v>4</v>
      </c>
      <c r="U29" s="25">
        <v>6</v>
      </c>
      <c r="V29" s="25">
        <v>6</v>
      </c>
      <c r="W29" s="50">
        <v>6</v>
      </c>
      <c r="X29" s="25">
        <v>1</v>
      </c>
      <c r="Y29" s="25">
        <f t="shared" si="0"/>
        <v>1.04</v>
      </c>
      <c r="Z29" s="25">
        <f t="shared" si="1"/>
        <v>1.0816000000000001</v>
      </c>
      <c r="AA29" s="25">
        <f t="shared" si="2"/>
        <v>1.1464960000000002</v>
      </c>
      <c r="AB29" s="25">
        <f t="shared" si="14"/>
        <v>1.2152857600000002</v>
      </c>
      <c r="AC29" s="50">
        <f t="shared" si="3"/>
        <v>1.2882029056000004</v>
      </c>
    </row>
    <row r="30" spans="1:29" ht="12.75">
      <c r="A30" s="1">
        <v>25</v>
      </c>
      <c r="B30" s="10" t="s">
        <v>349</v>
      </c>
      <c r="C30" s="200">
        <f>VLOOKUP(MID(B30,1,8)-0,'palkat 1.12.2018'!$B$9:$G$223,3,FALSE)</f>
        <v>2247.2</v>
      </c>
      <c r="D30" s="200">
        <f>VLOOKUP(MID(B30,1,8)-0,'palkat 1.12.2018'!$B$9:$G$223,5,FALSE)</f>
        <v>2225.95</v>
      </c>
      <c r="E30" s="11">
        <f>IF('muut muuttujat'!$G$3=1,C30,KÄYTTÖTAULU!$B$13)</f>
        <v>2247.2</v>
      </c>
      <c r="F30" s="11">
        <f>IF('muut muuttujat'!$G$3=1,D30,KÄYTTÖTAULU!$B$13)</f>
        <v>2225.95</v>
      </c>
      <c r="G30" s="11">
        <f>KÄYTTÖTAULU!$F$6</f>
        <v>0</v>
      </c>
      <c r="H30" s="11">
        <f>KÄYTTÖTAULU!$F$6</f>
        <v>0</v>
      </c>
      <c r="I30" s="11">
        <f t="shared" si="11"/>
        <v>0</v>
      </c>
      <c r="J30" s="11">
        <f t="shared" si="15"/>
        <v>0</v>
      </c>
      <c r="K30" s="1" t="e">
        <f>ROUND(I30/KÄYTTÖTAULU!$I$8,2)</f>
        <v>#DIV/0!</v>
      </c>
      <c r="L30" s="1" t="e">
        <f>ROUND(J30/KÄYTTÖTAULU!$I$8,2)</f>
        <v>#DIV/0!</v>
      </c>
      <c r="M30" s="1" t="e">
        <f t="shared" si="12"/>
        <v>#DIV/0!</v>
      </c>
      <c r="N30" s="1" t="e">
        <f t="shared" si="13"/>
        <v>#DIV/0!</v>
      </c>
      <c r="O30" s="11"/>
      <c r="P30" s="11"/>
      <c r="Q30" s="11"/>
      <c r="R30" s="24">
        <v>0</v>
      </c>
      <c r="S30" s="25">
        <v>4</v>
      </c>
      <c r="T30" s="25">
        <v>4</v>
      </c>
      <c r="U30" s="25">
        <v>6</v>
      </c>
      <c r="V30" s="25">
        <v>6</v>
      </c>
      <c r="W30" s="50">
        <v>6</v>
      </c>
      <c r="X30" s="25">
        <v>1</v>
      </c>
      <c r="Y30" s="25">
        <f t="shared" si="0"/>
        <v>1.04</v>
      </c>
      <c r="Z30" s="25">
        <f t="shared" si="1"/>
        <v>1.0816000000000001</v>
      </c>
      <c r="AA30" s="25">
        <f t="shared" si="2"/>
        <v>1.1464960000000002</v>
      </c>
      <c r="AB30" s="25">
        <f t="shared" si="14"/>
        <v>1.2152857600000002</v>
      </c>
      <c r="AC30" s="50">
        <f t="shared" si="3"/>
        <v>1.2882029056000004</v>
      </c>
    </row>
    <row r="31" spans="1:29" ht="12.75">
      <c r="A31" s="1">
        <v>26</v>
      </c>
      <c r="B31" s="10" t="s">
        <v>350</v>
      </c>
      <c r="C31" s="200">
        <f>VLOOKUP(MID(B31,1,8)-0,'palkat 1.12.2018'!$B$9:$G$223,3,FALSE)</f>
        <v>2123.97</v>
      </c>
      <c r="D31" s="200">
        <f>VLOOKUP(MID(B31,1,8)-0,'palkat 1.12.2018'!$B$9:$G$223,5,FALSE)</f>
        <v>2103.89</v>
      </c>
      <c r="E31" s="11">
        <f>IF('muut muuttujat'!$G$3=1,C31,KÄYTTÖTAULU!$B$13)</f>
        <v>2123.97</v>
      </c>
      <c r="F31" s="11">
        <f>IF('muut muuttujat'!$G$3=1,D31,KÄYTTÖTAULU!$B$13)</f>
        <v>2103.89</v>
      </c>
      <c r="G31" s="11">
        <f>KÄYTTÖTAULU!$F$6</f>
        <v>0</v>
      </c>
      <c r="H31" s="11">
        <f>KÄYTTÖTAULU!$F$6</f>
        <v>0</v>
      </c>
      <c r="I31" s="11">
        <f t="shared" si="11"/>
        <v>0</v>
      </c>
      <c r="J31" s="11">
        <f t="shared" si="15"/>
        <v>0</v>
      </c>
      <c r="K31" s="1" t="e">
        <f>ROUND(I31/KÄYTTÖTAULU!$I$8,2)</f>
        <v>#DIV/0!</v>
      </c>
      <c r="L31" s="1" t="e">
        <f>ROUND(J31/KÄYTTÖTAULU!$I$8,2)</f>
        <v>#DIV/0!</v>
      </c>
      <c r="M31" s="1" t="e">
        <f t="shared" si="12"/>
        <v>#DIV/0!</v>
      </c>
      <c r="N31" s="1" t="e">
        <f t="shared" si="13"/>
        <v>#DIV/0!</v>
      </c>
      <c r="O31" s="11"/>
      <c r="P31" s="11"/>
      <c r="Q31" s="11"/>
      <c r="R31" s="24">
        <v>0</v>
      </c>
      <c r="S31" s="25">
        <v>4</v>
      </c>
      <c r="T31" s="25">
        <v>4</v>
      </c>
      <c r="U31" s="25">
        <v>6</v>
      </c>
      <c r="V31" s="25">
        <v>6</v>
      </c>
      <c r="W31" s="50">
        <v>6</v>
      </c>
      <c r="X31" s="25">
        <v>1</v>
      </c>
      <c r="Y31" s="25">
        <f t="shared" si="0"/>
        <v>1.04</v>
      </c>
      <c r="Z31" s="25">
        <f t="shared" si="1"/>
        <v>1.0816000000000001</v>
      </c>
      <c r="AA31" s="25">
        <f t="shared" si="2"/>
        <v>1.1464960000000002</v>
      </c>
      <c r="AB31" s="25">
        <f t="shared" si="14"/>
        <v>1.2152857600000002</v>
      </c>
      <c r="AC31" s="50">
        <f t="shared" si="3"/>
        <v>1.2882029056000004</v>
      </c>
    </row>
    <row r="32" spans="1:29" ht="12.75">
      <c r="A32" s="1">
        <v>27</v>
      </c>
      <c r="B32" s="10" t="s">
        <v>351</v>
      </c>
      <c r="C32" s="200">
        <f>VLOOKUP(MID(B32,1,8)-0,'palkat 1.12.2018'!$B$9:$G$223,3,FALSE)</f>
        <v>2892.92</v>
      </c>
      <c r="D32" s="200">
        <f>VLOOKUP(MID(B32,1,8)-0,'palkat 1.12.2018'!$B$9:$G$223,5,FALSE)</f>
        <v>2865.56</v>
      </c>
      <c r="E32" s="11">
        <f>IF('muut muuttujat'!$G$3=1,C32,KÄYTTÖTAULU!$B$13)</f>
        <v>2892.92</v>
      </c>
      <c r="F32" s="11">
        <f>IF('muut muuttujat'!$G$3=1,D32,KÄYTTÖTAULU!$B$13)</f>
        <v>2865.56</v>
      </c>
      <c r="G32" s="11">
        <f>KÄYTTÖTAULU!$F$6</f>
        <v>0</v>
      </c>
      <c r="H32" s="11">
        <f>KÄYTTÖTAULU!$F$6</f>
        <v>0</v>
      </c>
      <c r="I32" s="11">
        <f t="shared" si="11"/>
        <v>0</v>
      </c>
      <c r="J32" s="11">
        <f t="shared" si="15"/>
        <v>0</v>
      </c>
      <c r="K32" s="1" t="e">
        <f>ROUND(I32/KÄYTTÖTAULU!$I$8,2)</f>
        <v>#DIV/0!</v>
      </c>
      <c r="L32" s="1" t="e">
        <f>ROUND(J32/KÄYTTÖTAULU!$I$8,2)</f>
        <v>#DIV/0!</v>
      </c>
      <c r="M32" s="1" t="e">
        <f t="shared" si="12"/>
        <v>#DIV/0!</v>
      </c>
      <c r="N32" s="1" t="e">
        <f t="shared" si="13"/>
        <v>#DIV/0!</v>
      </c>
      <c r="O32" s="11"/>
      <c r="P32" s="11"/>
      <c r="Q32" s="11"/>
      <c r="R32" s="24">
        <v>0</v>
      </c>
      <c r="S32" s="25">
        <v>4</v>
      </c>
      <c r="T32" s="25">
        <v>4</v>
      </c>
      <c r="U32" s="25">
        <v>6</v>
      </c>
      <c r="V32" s="25">
        <v>6</v>
      </c>
      <c r="W32" s="50">
        <v>6</v>
      </c>
      <c r="X32" s="25">
        <v>1</v>
      </c>
      <c r="Y32" s="25">
        <f t="shared" si="0"/>
        <v>1.04</v>
      </c>
      <c r="Z32" s="25">
        <f t="shared" si="1"/>
        <v>1.0816000000000001</v>
      </c>
      <c r="AA32" s="25">
        <f t="shared" si="2"/>
        <v>1.1464960000000002</v>
      </c>
      <c r="AB32" s="25">
        <f t="shared" si="14"/>
        <v>1.2152857600000002</v>
      </c>
      <c r="AC32" s="50">
        <f t="shared" si="3"/>
        <v>1.2882029056000004</v>
      </c>
    </row>
    <row r="33" spans="1:29" ht="12.75">
      <c r="A33" s="1">
        <v>28</v>
      </c>
      <c r="B33" s="10" t="s">
        <v>352</v>
      </c>
      <c r="C33" s="200">
        <f>VLOOKUP(MID(B33,1,8)-0,'palkat 1.12.2018'!$B$9:$G$223,3,FALSE)</f>
        <v>2791.76</v>
      </c>
      <c r="D33" s="200">
        <f>VLOOKUP(MID(B33,1,8)-0,'palkat 1.12.2018'!$B$9:$G$223,5,FALSE)</f>
        <v>2765.35</v>
      </c>
      <c r="E33" s="11">
        <f>IF('muut muuttujat'!$G$3=1,C33,KÄYTTÖTAULU!$B$13)</f>
        <v>2791.76</v>
      </c>
      <c r="F33" s="11">
        <f>IF('muut muuttujat'!$G$3=1,D33,KÄYTTÖTAULU!$B$13)</f>
        <v>2765.35</v>
      </c>
      <c r="G33" s="11">
        <f>KÄYTTÖTAULU!$F$6</f>
        <v>0</v>
      </c>
      <c r="H33" s="11">
        <f>KÄYTTÖTAULU!$F$6</f>
        <v>0</v>
      </c>
      <c r="I33" s="11">
        <f t="shared" si="11"/>
        <v>0</v>
      </c>
      <c r="J33" s="11">
        <f t="shared" si="15"/>
        <v>0</v>
      </c>
      <c r="K33" s="1" t="e">
        <f>ROUND(I33/KÄYTTÖTAULU!$I$8,2)</f>
        <v>#DIV/0!</v>
      </c>
      <c r="L33" s="1" t="e">
        <f>ROUND(J33/KÄYTTÖTAULU!$I$8,2)</f>
        <v>#DIV/0!</v>
      </c>
      <c r="M33" s="1" t="e">
        <f t="shared" si="12"/>
        <v>#DIV/0!</v>
      </c>
      <c r="N33" s="1" t="e">
        <f t="shared" si="13"/>
        <v>#DIV/0!</v>
      </c>
      <c r="O33" s="11"/>
      <c r="P33" s="11"/>
      <c r="Q33" s="11"/>
      <c r="R33" s="24">
        <v>0</v>
      </c>
      <c r="S33" s="25">
        <v>4</v>
      </c>
      <c r="T33" s="25">
        <v>4</v>
      </c>
      <c r="U33" s="25">
        <v>6</v>
      </c>
      <c r="V33" s="25">
        <v>6</v>
      </c>
      <c r="W33" s="50">
        <v>6</v>
      </c>
      <c r="X33" s="25">
        <v>1</v>
      </c>
      <c r="Y33" s="25">
        <f t="shared" si="0"/>
        <v>1.04</v>
      </c>
      <c r="Z33" s="25">
        <f t="shared" si="1"/>
        <v>1.0816000000000001</v>
      </c>
      <c r="AA33" s="25">
        <f t="shared" si="2"/>
        <v>1.1464960000000002</v>
      </c>
      <c r="AB33" s="25">
        <f t="shared" si="14"/>
        <v>1.2152857600000002</v>
      </c>
      <c r="AC33" s="50">
        <f t="shared" si="3"/>
        <v>1.2882029056000004</v>
      </c>
    </row>
    <row r="34" spans="1:29" ht="12.75">
      <c r="A34" s="1">
        <v>29</v>
      </c>
      <c r="B34" s="10" t="s">
        <v>353</v>
      </c>
      <c r="C34" s="200">
        <f>VLOOKUP(MID(B34,1,8)-0,'palkat 1.12.2018'!$B$9:$G$223,3,FALSE)</f>
        <v>2702.28</v>
      </c>
      <c r="D34" s="200">
        <f>VLOOKUP(MID(B34,1,8)-0,'palkat 1.12.2018'!$B$9:$G$223,5,FALSE)</f>
        <v>2676.69</v>
      </c>
      <c r="E34" s="11">
        <f>IF('muut muuttujat'!$G$3=1,C34,KÄYTTÖTAULU!$B$13)</f>
        <v>2702.28</v>
      </c>
      <c r="F34" s="11">
        <f>IF('muut muuttujat'!$G$3=1,D34,KÄYTTÖTAULU!$B$13)</f>
        <v>2676.69</v>
      </c>
      <c r="G34" s="11">
        <f>KÄYTTÖTAULU!$F$6</f>
        <v>0</v>
      </c>
      <c r="H34" s="11">
        <f>KÄYTTÖTAULU!$F$6</f>
        <v>0</v>
      </c>
      <c r="I34" s="11">
        <f t="shared" si="11"/>
        <v>0</v>
      </c>
      <c r="J34" s="11">
        <f t="shared" si="15"/>
        <v>0</v>
      </c>
      <c r="K34" s="1" t="e">
        <f>ROUND(I34/KÄYTTÖTAULU!$I$8,2)</f>
        <v>#DIV/0!</v>
      </c>
      <c r="L34" s="1" t="e">
        <f>ROUND(J34/KÄYTTÖTAULU!$I$8,2)</f>
        <v>#DIV/0!</v>
      </c>
      <c r="M34" s="1" t="e">
        <f t="shared" si="12"/>
        <v>#DIV/0!</v>
      </c>
      <c r="N34" s="1" t="e">
        <f t="shared" si="13"/>
        <v>#DIV/0!</v>
      </c>
      <c r="O34" s="11"/>
      <c r="P34" s="11"/>
      <c r="Q34" s="11"/>
      <c r="R34" s="24">
        <v>0</v>
      </c>
      <c r="S34" s="25">
        <v>4</v>
      </c>
      <c r="T34" s="25">
        <v>4</v>
      </c>
      <c r="U34" s="25">
        <v>6</v>
      </c>
      <c r="V34" s="25">
        <v>6</v>
      </c>
      <c r="W34" s="50">
        <v>6</v>
      </c>
      <c r="X34" s="25">
        <v>1</v>
      </c>
      <c r="Y34" s="25">
        <f t="shared" si="0"/>
        <v>1.04</v>
      </c>
      <c r="Z34" s="25">
        <f t="shared" si="1"/>
        <v>1.0816000000000001</v>
      </c>
      <c r="AA34" s="25">
        <f t="shared" si="2"/>
        <v>1.1464960000000002</v>
      </c>
      <c r="AB34" s="25">
        <f t="shared" si="14"/>
        <v>1.2152857600000002</v>
      </c>
      <c r="AC34" s="50">
        <f t="shared" si="3"/>
        <v>1.2882029056000004</v>
      </c>
    </row>
    <row r="35" spans="1:29" ht="12.75">
      <c r="A35" s="1">
        <v>30</v>
      </c>
      <c r="B35" s="10" t="s">
        <v>354</v>
      </c>
      <c r="C35" s="200">
        <f>VLOOKUP(MID(B35,1,8)-0,'palkat 1.12.2018'!$B$9:$G$223,3,FALSE)</f>
        <v>2660.14</v>
      </c>
      <c r="D35" s="200">
        <f>VLOOKUP(MID(B35,1,8)-0,'palkat 1.12.2018'!$B$9:$G$223,5,FALSE)</f>
        <v>2635</v>
      </c>
      <c r="E35" s="11">
        <f>IF('muut muuttujat'!$G$3=1,C35,KÄYTTÖTAULU!$B$13)</f>
        <v>2660.14</v>
      </c>
      <c r="F35" s="11">
        <f>IF('muut muuttujat'!$G$3=1,D35,KÄYTTÖTAULU!$B$13)</f>
        <v>2635</v>
      </c>
      <c r="G35" s="11">
        <f>KÄYTTÖTAULU!$F$6</f>
        <v>0</v>
      </c>
      <c r="H35" s="11">
        <f>KÄYTTÖTAULU!$F$6</f>
        <v>0</v>
      </c>
      <c r="I35" s="11">
        <f t="shared" si="11"/>
        <v>0</v>
      </c>
      <c r="J35" s="11">
        <f t="shared" si="15"/>
        <v>0</v>
      </c>
      <c r="K35" s="1" t="e">
        <f>ROUND(I35/KÄYTTÖTAULU!$I$8,2)</f>
        <v>#DIV/0!</v>
      </c>
      <c r="L35" s="1" t="e">
        <f>ROUND(J35/KÄYTTÖTAULU!$I$8,2)</f>
        <v>#DIV/0!</v>
      </c>
      <c r="M35" s="1" t="e">
        <f t="shared" si="12"/>
        <v>#DIV/0!</v>
      </c>
      <c r="N35" s="1" t="e">
        <f t="shared" si="13"/>
        <v>#DIV/0!</v>
      </c>
      <c r="O35" s="11"/>
      <c r="P35" s="11"/>
      <c r="Q35" s="11"/>
      <c r="R35" s="24">
        <v>0</v>
      </c>
      <c r="S35" s="25">
        <v>4</v>
      </c>
      <c r="T35" s="25">
        <v>4</v>
      </c>
      <c r="U35" s="25">
        <v>6</v>
      </c>
      <c r="V35" s="25">
        <v>6</v>
      </c>
      <c r="W35" s="50">
        <v>6</v>
      </c>
      <c r="X35" s="25">
        <v>1</v>
      </c>
      <c r="Y35" s="25">
        <f t="shared" si="0"/>
        <v>1.04</v>
      </c>
      <c r="Z35" s="25">
        <f t="shared" si="1"/>
        <v>1.0816000000000001</v>
      </c>
      <c r="AA35" s="25">
        <f t="shared" si="2"/>
        <v>1.1464960000000002</v>
      </c>
      <c r="AB35" s="25">
        <f t="shared" si="14"/>
        <v>1.2152857600000002</v>
      </c>
      <c r="AC35" s="50">
        <f t="shared" si="3"/>
        <v>1.2882029056000004</v>
      </c>
    </row>
    <row r="36" spans="1:29" ht="12.75">
      <c r="A36" s="1">
        <v>31</v>
      </c>
      <c r="B36" s="10" t="s">
        <v>355</v>
      </c>
      <c r="C36" s="200">
        <f>VLOOKUP(MID(B36,1,8)-0,'palkat 1.12.2018'!$B$9:$G$223,3,FALSE)</f>
        <v>2549.5</v>
      </c>
      <c r="D36" s="200">
        <f>VLOOKUP(MID(B36,1,8)-0,'palkat 1.12.2018'!$B$9:$G$223,5,FALSE)</f>
        <v>2525.44</v>
      </c>
      <c r="E36" s="11">
        <f>IF('muut muuttujat'!$G$3=1,C36,KÄYTTÖTAULU!$B$13)</f>
        <v>2549.5</v>
      </c>
      <c r="F36" s="11">
        <f>IF('muut muuttujat'!$G$3=1,D36,KÄYTTÖTAULU!$B$13)</f>
        <v>2525.44</v>
      </c>
      <c r="G36" s="11">
        <f>KÄYTTÖTAULU!$F$6</f>
        <v>0</v>
      </c>
      <c r="H36" s="11">
        <f>KÄYTTÖTAULU!$F$6</f>
        <v>0</v>
      </c>
      <c r="I36" s="11">
        <f t="shared" si="11"/>
        <v>0</v>
      </c>
      <c r="J36" s="11">
        <f t="shared" si="15"/>
        <v>0</v>
      </c>
      <c r="K36" s="1" t="e">
        <f>ROUND(I36/KÄYTTÖTAULU!$I$8,2)</f>
        <v>#DIV/0!</v>
      </c>
      <c r="L36" s="1" t="e">
        <f>ROUND(J36/KÄYTTÖTAULU!$I$8,2)</f>
        <v>#DIV/0!</v>
      </c>
      <c r="M36" s="1" t="e">
        <f t="shared" si="12"/>
        <v>#DIV/0!</v>
      </c>
      <c r="N36" s="1" t="e">
        <f t="shared" si="13"/>
        <v>#DIV/0!</v>
      </c>
      <c r="O36" s="11"/>
      <c r="P36" s="11"/>
      <c r="Q36" s="11"/>
      <c r="R36" s="24">
        <v>0</v>
      </c>
      <c r="S36" s="25">
        <v>4</v>
      </c>
      <c r="T36" s="25">
        <v>4</v>
      </c>
      <c r="U36" s="25">
        <v>6</v>
      </c>
      <c r="V36" s="25">
        <v>6</v>
      </c>
      <c r="W36" s="50">
        <v>6</v>
      </c>
      <c r="X36" s="25">
        <v>1</v>
      </c>
      <c r="Y36" s="25">
        <f t="shared" si="0"/>
        <v>1.04</v>
      </c>
      <c r="Z36" s="25">
        <f t="shared" si="1"/>
        <v>1.0816000000000001</v>
      </c>
      <c r="AA36" s="25">
        <f t="shared" si="2"/>
        <v>1.1464960000000002</v>
      </c>
      <c r="AB36" s="25">
        <f t="shared" si="14"/>
        <v>1.2152857600000002</v>
      </c>
      <c r="AC36" s="50">
        <f t="shared" si="3"/>
        <v>1.2882029056000004</v>
      </c>
    </row>
    <row r="37" spans="1:29" ht="12.75">
      <c r="A37" s="1">
        <v>32</v>
      </c>
      <c r="B37" s="10" t="s">
        <v>356</v>
      </c>
      <c r="C37" s="200">
        <f>VLOOKUP(MID(B37,1,8)-0,'palkat 1.12.2018'!$B$9:$G$223,3,FALSE)</f>
        <v>2228.36</v>
      </c>
      <c r="D37" s="200">
        <f>VLOOKUP(MID(B37,1,8)-0,'palkat 1.12.2018'!$B$9:$G$223,5,FALSE)</f>
        <v>2207.28</v>
      </c>
      <c r="E37" s="11">
        <f>IF('muut muuttujat'!$G$3=1,C37,KÄYTTÖTAULU!$B$13)</f>
        <v>2228.36</v>
      </c>
      <c r="F37" s="11">
        <f>IF('muut muuttujat'!$G$3=1,D37,KÄYTTÖTAULU!$B$13)</f>
        <v>2207.28</v>
      </c>
      <c r="G37" s="11">
        <f>KÄYTTÖTAULU!$F$6</f>
        <v>0</v>
      </c>
      <c r="H37" s="11">
        <f>KÄYTTÖTAULU!$F$6</f>
        <v>0</v>
      </c>
      <c r="I37" s="11">
        <f t="shared" si="11"/>
        <v>0</v>
      </c>
      <c r="J37" s="11">
        <f t="shared" si="15"/>
        <v>0</v>
      </c>
      <c r="K37" s="1" t="e">
        <f>ROUND(I37/KÄYTTÖTAULU!$I$8,2)</f>
        <v>#DIV/0!</v>
      </c>
      <c r="L37" s="1" t="e">
        <f>ROUND(J37/KÄYTTÖTAULU!$I$8,2)</f>
        <v>#DIV/0!</v>
      </c>
      <c r="M37" s="1" t="e">
        <f t="shared" si="12"/>
        <v>#DIV/0!</v>
      </c>
      <c r="N37" s="1" t="e">
        <f t="shared" si="13"/>
        <v>#DIV/0!</v>
      </c>
      <c r="O37" s="11"/>
      <c r="P37" s="11"/>
      <c r="Q37" s="11"/>
      <c r="R37" s="24">
        <v>0</v>
      </c>
      <c r="S37" s="25">
        <v>4</v>
      </c>
      <c r="T37" s="25">
        <v>4</v>
      </c>
      <c r="U37" s="25">
        <v>6</v>
      </c>
      <c r="V37" s="25">
        <v>6</v>
      </c>
      <c r="W37" s="50">
        <v>6</v>
      </c>
      <c r="X37" s="25">
        <v>1</v>
      </c>
      <c r="Y37" s="25">
        <f t="shared" si="0"/>
        <v>1.04</v>
      </c>
      <c r="Z37" s="25">
        <f t="shared" si="1"/>
        <v>1.0816000000000001</v>
      </c>
      <c r="AA37" s="25">
        <f t="shared" si="2"/>
        <v>1.1464960000000002</v>
      </c>
      <c r="AB37" s="25">
        <f t="shared" si="14"/>
        <v>1.2152857600000002</v>
      </c>
      <c r="AC37" s="50">
        <f t="shared" si="3"/>
        <v>1.2882029056000004</v>
      </c>
    </row>
    <row r="38" spans="1:29" ht="12.75">
      <c r="A38" s="1">
        <v>33</v>
      </c>
      <c r="B38" s="10" t="s">
        <v>357</v>
      </c>
      <c r="C38" s="200">
        <f>VLOOKUP(MID(B38,1,8)-0,'palkat 1.12.2018'!$B$9:$G$223,3,FALSE)</f>
        <v>2872.98</v>
      </c>
      <c r="D38" s="200">
        <f>VLOOKUP(MID(B38,1,8)-0,'palkat 1.12.2018'!$B$9:$G$223,5,FALSE)</f>
        <v>2845.8</v>
      </c>
      <c r="E38" s="11">
        <f>IF('muut muuttujat'!$G$3=1,C38,KÄYTTÖTAULU!$B$13)</f>
        <v>2872.98</v>
      </c>
      <c r="F38" s="11">
        <f>IF('muut muuttujat'!$G$3=1,D38,KÄYTTÖTAULU!$B$13)</f>
        <v>2845.8</v>
      </c>
      <c r="G38" s="11">
        <f>KÄYTTÖTAULU!$F$6</f>
        <v>0</v>
      </c>
      <c r="H38" s="11">
        <f>KÄYTTÖTAULU!$F$6</f>
        <v>0</v>
      </c>
      <c r="I38" s="11">
        <f t="shared" si="11"/>
        <v>0</v>
      </c>
      <c r="J38" s="11">
        <f t="shared" si="15"/>
        <v>0</v>
      </c>
      <c r="K38" s="1" t="e">
        <f>ROUND(I38/KÄYTTÖTAULU!$I$8,2)</f>
        <v>#DIV/0!</v>
      </c>
      <c r="L38" s="1" t="e">
        <f>ROUND(J38/KÄYTTÖTAULU!$I$8,2)</f>
        <v>#DIV/0!</v>
      </c>
      <c r="M38" s="1" t="e">
        <f t="shared" si="12"/>
        <v>#DIV/0!</v>
      </c>
      <c r="N38" s="1" t="e">
        <f t="shared" si="13"/>
        <v>#DIV/0!</v>
      </c>
      <c r="O38" s="11"/>
      <c r="P38" s="11"/>
      <c r="Q38" s="11"/>
      <c r="R38" s="24">
        <v>0</v>
      </c>
      <c r="S38" s="25">
        <v>4</v>
      </c>
      <c r="T38" s="25">
        <v>4</v>
      </c>
      <c r="U38" s="25">
        <v>6</v>
      </c>
      <c r="V38" s="25">
        <v>6</v>
      </c>
      <c r="W38" s="50">
        <v>6</v>
      </c>
      <c r="X38" s="25">
        <v>1</v>
      </c>
      <c r="Y38" s="25">
        <f t="shared" si="0"/>
        <v>1.04</v>
      </c>
      <c r="Z38" s="25">
        <f t="shared" si="1"/>
        <v>1.0816000000000001</v>
      </c>
      <c r="AA38" s="25">
        <f t="shared" si="2"/>
        <v>1.1464960000000002</v>
      </c>
      <c r="AB38" s="25">
        <f t="shared" si="14"/>
        <v>1.2152857600000002</v>
      </c>
      <c r="AC38" s="50">
        <f t="shared" si="3"/>
        <v>1.2882029056000004</v>
      </c>
    </row>
    <row r="39" spans="1:29" ht="12.75">
      <c r="A39" s="1">
        <v>34</v>
      </c>
      <c r="B39" s="10" t="s">
        <v>358</v>
      </c>
      <c r="C39" s="200">
        <f>VLOOKUP(MID(B39,1,8)-0,'palkat 1.12.2018'!$B$9:$G$223,3,FALSE)</f>
        <v>2660.14</v>
      </c>
      <c r="D39" s="200">
        <f>VLOOKUP(MID(B39,1,8)-0,'palkat 1.12.2018'!$B$9:$G$223,5,FALSE)</f>
        <v>2635</v>
      </c>
      <c r="E39" s="11">
        <f>IF('muut muuttujat'!$G$3=1,C39,KÄYTTÖTAULU!$B$13)</f>
        <v>2660.14</v>
      </c>
      <c r="F39" s="11">
        <f>IF('muut muuttujat'!$G$3=1,D39,KÄYTTÖTAULU!$B$13)</f>
        <v>2635</v>
      </c>
      <c r="G39" s="11">
        <f>KÄYTTÖTAULU!$F$6</f>
        <v>0</v>
      </c>
      <c r="H39" s="11">
        <f>KÄYTTÖTAULU!$F$6</f>
        <v>0</v>
      </c>
      <c r="I39" s="11">
        <f t="shared" si="11"/>
        <v>0</v>
      </c>
      <c r="J39" s="11">
        <f t="shared" si="15"/>
        <v>0</v>
      </c>
      <c r="K39" s="1" t="e">
        <f>ROUND(I39/KÄYTTÖTAULU!$I$8,2)</f>
        <v>#DIV/0!</v>
      </c>
      <c r="L39" s="1" t="e">
        <f>ROUND(J39/KÄYTTÖTAULU!$I$8,2)</f>
        <v>#DIV/0!</v>
      </c>
      <c r="M39" s="1" t="e">
        <f t="shared" si="12"/>
        <v>#DIV/0!</v>
      </c>
      <c r="N39" s="1" t="e">
        <f t="shared" si="13"/>
        <v>#DIV/0!</v>
      </c>
      <c r="O39" s="11"/>
      <c r="P39" s="11"/>
      <c r="Q39" s="11"/>
      <c r="R39" s="24">
        <v>0</v>
      </c>
      <c r="S39" s="25">
        <v>4</v>
      </c>
      <c r="T39" s="25">
        <v>4</v>
      </c>
      <c r="U39" s="25">
        <v>6</v>
      </c>
      <c r="V39" s="25">
        <v>6</v>
      </c>
      <c r="W39" s="50">
        <v>6</v>
      </c>
      <c r="X39" s="25">
        <v>1</v>
      </c>
      <c r="Y39" s="25">
        <f t="shared" si="0"/>
        <v>1.04</v>
      </c>
      <c r="Z39" s="25">
        <f t="shared" si="1"/>
        <v>1.0816000000000001</v>
      </c>
      <c r="AA39" s="25">
        <f t="shared" si="2"/>
        <v>1.1464960000000002</v>
      </c>
      <c r="AB39" s="25">
        <f t="shared" si="14"/>
        <v>1.2152857600000002</v>
      </c>
      <c r="AC39" s="50">
        <f t="shared" si="3"/>
        <v>1.2882029056000004</v>
      </c>
    </row>
    <row r="40" spans="1:29" ht="12.75">
      <c r="A40" s="1">
        <v>35</v>
      </c>
      <c r="B40" s="10" t="s">
        <v>359</v>
      </c>
      <c r="C40" s="200">
        <f>VLOOKUP(MID(B40,1,8)-0,'palkat 1.12.2018'!$B$9:$G$223,3,FALSE)</f>
        <v>2574.27</v>
      </c>
      <c r="D40" s="200">
        <f>VLOOKUP(MID(B40,1,8)-0,'palkat 1.12.2018'!$B$9:$G$223,5,FALSE)</f>
        <v>2549.92</v>
      </c>
      <c r="E40" s="11">
        <f>IF('muut muuttujat'!$G$3=1,C40,KÄYTTÖTAULU!$B$13)</f>
        <v>2574.27</v>
      </c>
      <c r="F40" s="11">
        <f>IF('muut muuttujat'!$G$3=1,D40,KÄYTTÖTAULU!$B$13)</f>
        <v>2549.92</v>
      </c>
      <c r="G40" s="11">
        <f>KÄYTTÖTAULU!$F$6</f>
        <v>0</v>
      </c>
      <c r="H40" s="11">
        <f>KÄYTTÖTAULU!$F$6</f>
        <v>0</v>
      </c>
      <c r="I40" s="11">
        <f t="shared" si="11"/>
        <v>0</v>
      </c>
      <c r="J40" s="11">
        <f t="shared" si="15"/>
        <v>0</v>
      </c>
      <c r="K40" s="1" t="e">
        <f>ROUND(I40/KÄYTTÖTAULU!$I$8,2)</f>
        <v>#DIV/0!</v>
      </c>
      <c r="L40" s="1" t="e">
        <f>ROUND(J40/KÄYTTÖTAULU!$I$8,2)</f>
        <v>#DIV/0!</v>
      </c>
      <c r="M40" s="1" t="e">
        <f t="shared" si="12"/>
        <v>#DIV/0!</v>
      </c>
      <c r="N40" s="1" t="e">
        <f t="shared" si="13"/>
        <v>#DIV/0!</v>
      </c>
      <c r="O40" s="11"/>
      <c r="P40" s="11"/>
      <c r="Q40" s="11"/>
      <c r="R40" s="24">
        <v>0</v>
      </c>
      <c r="S40" s="25">
        <v>4</v>
      </c>
      <c r="T40" s="25">
        <v>4</v>
      </c>
      <c r="U40" s="25">
        <v>6</v>
      </c>
      <c r="V40" s="25">
        <v>6</v>
      </c>
      <c r="W40" s="50">
        <v>6</v>
      </c>
      <c r="X40" s="25">
        <v>1</v>
      </c>
      <c r="Y40" s="25">
        <f t="shared" si="0"/>
        <v>1.04</v>
      </c>
      <c r="Z40" s="25">
        <f t="shared" si="1"/>
        <v>1.0816000000000001</v>
      </c>
      <c r="AA40" s="25">
        <f t="shared" si="2"/>
        <v>1.1464960000000002</v>
      </c>
      <c r="AB40" s="25">
        <f t="shared" si="14"/>
        <v>1.2152857600000002</v>
      </c>
      <c r="AC40" s="50">
        <f t="shared" si="3"/>
        <v>1.2882029056000004</v>
      </c>
    </row>
    <row r="41" spans="1:29" ht="12.75">
      <c r="A41" s="1">
        <v>36</v>
      </c>
      <c r="B41" s="10" t="s">
        <v>360</v>
      </c>
      <c r="C41" s="200">
        <f>VLOOKUP(MID(B41,1,8)-0,'palkat 1.12.2018'!$B$9:$G$223,3,FALSE)</f>
        <v>2100.2</v>
      </c>
      <c r="D41" s="200">
        <f>VLOOKUP(MID(B41,1,8)-0,'palkat 1.12.2018'!$B$9:$G$223,5,FALSE)</f>
        <v>2080.51</v>
      </c>
      <c r="E41" s="11">
        <f>IF('muut muuttujat'!$G$3=1,C41,KÄYTTÖTAULU!$B$13)</f>
        <v>2100.2</v>
      </c>
      <c r="F41" s="11">
        <f>IF('muut muuttujat'!$G$3=1,D41,KÄYTTÖTAULU!$B$13)</f>
        <v>2080.51</v>
      </c>
      <c r="G41" s="11">
        <f>KÄYTTÖTAULU!$F$6</f>
        <v>0</v>
      </c>
      <c r="H41" s="11">
        <f>KÄYTTÖTAULU!$F$6</f>
        <v>0</v>
      </c>
      <c r="I41" s="11">
        <f t="shared" si="11"/>
        <v>0</v>
      </c>
      <c r="J41" s="11">
        <f t="shared" si="15"/>
        <v>0</v>
      </c>
      <c r="K41" s="1" t="e">
        <f>ROUND(I41/KÄYTTÖTAULU!$I$8,2)</f>
        <v>#DIV/0!</v>
      </c>
      <c r="L41" s="1" t="e">
        <f>ROUND(J41/KÄYTTÖTAULU!$I$8,2)</f>
        <v>#DIV/0!</v>
      </c>
      <c r="M41" s="1" t="e">
        <f t="shared" si="12"/>
        <v>#DIV/0!</v>
      </c>
      <c r="N41" s="1" t="e">
        <f t="shared" si="13"/>
        <v>#DIV/0!</v>
      </c>
      <c r="O41" s="11"/>
      <c r="P41" s="11"/>
      <c r="Q41" s="11"/>
      <c r="R41" s="24">
        <v>0</v>
      </c>
      <c r="S41" s="25">
        <v>4</v>
      </c>
      <c r="T41" s="25">
        <v>4</v>
      </c>
      <c r="U41" s="25">
        <v>6</v>
      </c>
      <c r="V41" s="25">
        <v>6</v>
      </c>
      <c r="W41" s="50">
        <v>6</v>
      </c>
      <c r="X41" s="25">
        <v>1</v>
      </c>
      <c r="Y41" s="25">
        <f t="shared" si="0"/>
        <v>1.04</v>
      </c>
      <c r="Z41" s="25">
        <f t="shared" si="1"/>
        <v>1.0816000000000001</v>
      </c>
      <c r="AA41" s="25">
        <f t="shared" si="2"/>
        <v>1.1464960000000002</v>
      </c>
      <c r="AB41" s="25">
        <f t="shared" si="14"/>
        <v>1.2152857600000002</v>
      </c>
      <c r="AC41" s="50">
        <f t="shared" si="3"/>
        <v>1.2882029056000004</v>
      </c>
    </row>
    <row r="42" spans="1:29" ht="12.75">
      <c r="A42" s="1">
        <v>37</v>
      </c>
      <c r="B42" s="10" t="s">
        <v>361</v>
      </c>
      <c r="C42" s="200">
        <f>VLOOKUP(MID(B42,1,8)-0,'palkat 1.12.2018'!$B$9:$G$223,3,FALSE)</f>
        <v>2002.93</v>
      </c>
      <c r="D42" s="200">
        <f>VLOOKUP(MID(B42,1,8)-0,'palkat 1.12.2018'!$B$9:$G$223,5,FALSE)</f>
        <v>1984.92</v>
      </c>
      <c r="E42" s="11">
        <f>IF('muut muuttujat'!$G$3=1,C42,KÄYTTÖTAULU!$B$13)</f>
        <v>2002.93</v>
      </c>
      <c r="F42" s="11">
        <f>IF('muut muuttujat'!$G$3=1,D42,KÄYTTÖTAULU!$B$13)</f>
        <v>1984.92</v>
      </c>
      <c r="G42" s="11">
        <f>KÄYTTÖTAULU!$F$6</f>
        <v>0</v>
      </c>
      <c r="H42" s="11">
        <f>KÄYTTÖTAULU!$F$6</f>
        <v>0</v>
      </c>
      <c r="I42" s="11">
        <f t="shared" si="11"/>
        <v>0</v>
      </c>
      <c r="J42" s="11">
        <f t="shared" si="15"/>
        <v>0</v>
      </c>
      <c r="K42" s="1" t="e">
        <f>ROUND(I42/KÄYTTÖTAULU!$I$8,2)</f>
        <v>#DIV/0!</v>
      </c>
      <c r="L42" s="1" t="e">
        <f>ROUND(J42/KÄYTTÖTAULU!$I$8,2)</f>
        <v>#DIV/0!</v>
      </c>
      <c r="M42" s="1" t="e">
        <f t="shared" si="12"/>
        <v>#DIV/0!</v>
      </c>
      <c r="N42" s="1" t="e">
        <f t="shared" si="13"/>
        <v>#DIV/0!</v>
      </c>
      <c r="O42" s="11"/>
      <c r="P42" s="11"/>
      <c r="Q42" s="11"/>
      <c r="R42" s="24">
        <v>0</v>
      </c>
      <c r="S42" s="25">
        <v>4</v>
      </c>
      <c r="T42" s="25">
        <v>4</v>
      </c>
      <c r="U42" s="25">
        <v>6</v>
      </c>
      <c r="V42" s="25">
        <v>6</v>
      </c>
      <c r="W42" s="50">
        <v>6</v>
      </c>
      <c r="X42" s="25">
        <v>1</v>
      </c>
      <c r="Y42" s="25">
        <f t="shared" si="0"/>
        <v>1.04</v>
      </c>
      <c r="Z42" s="25">
        <f t="shared" si="1"/>
        <v>1.0816000000000001</v>
      </c>
      <c r="AA42" s="25">
        <f t="shared" si="2"/>
        <v>1.1464960000000002</v>
      </c>
      <c r="AB42" s="25">
        <f t="shared" si="14"/>
        <v>1.2152857600000002</v>
      </c>
      <c r="AC42" s="50">
        <f t="shared" si="3"/>
        <v>1.2882029056000004</v>
      </c>
    </row>
    <row r="43" spans="1:29" ht="12.75">
      <c r="A43" s="1">
        <v>38</v>
      </c>
      <c r="B43" s="10" t="s">
        <v>362</v>
      </c>
      <c r="C43" s="200">
        <f>VLOOKUP(MID(B43,1,8)-0,'palkat 1.12.2018'!$B$9:$G$223,3,FALSE)</f>
        <v>2307.83</v>
      </c>
      <c r="D43" s="200">
        <f>VLOOKUP(MID(B43,1,8)-0,'palkat 1.12.2018'!$B$9:$G$223,5,FALSE)</f>
        <v>2286</v>
      </c>
      <c r="E43" s="11">
        <f>IF('muut muuttujat'!$G$3=1,C43,KÄYTTÖTAULU!$B$13)</f>
        <v>2307.83</v>
      </c>
      <c r="F43" s="11">
        <f>IF('muut muuttujat'!$G$3=1,D43,KÄYTTÖTAULU!$B$13)</f>
        <v>2286</v>
      </c>
      <c r="G43" s="11">
        <f>KÄYTTÖTAULU!$F$6</f>
        <v>0</v>
      </c>
      <c r="H43" s="11">
        <f>KÄYTTÖTAULU!$F$6</f>
        <v>0</v>
      </c>
      <c r="I43" s="11">
        <f t="shared" si="11"/>
        <v>0</v>
      </c>
      <c r="J43" s="11">
        <f t="shared" si="15"/>
        <v>0</v>
      </c>
      <c r="K43" s="1" t="e">
        <f>ROUND(I43/KÄYTTÖTAULU!$I$8,2)</f>
        <v>#DIV/0!</v>
      </c>
      <c r="L43" s="1" t="e">
        <f>ROUND(J43/KÄYTTÖTAULU!$I$8,2)</f>
        <v>#DIV/0!</v>
      </c>
      <c r="M43" s="1" t="e">
        <f t="shared" si="12"/>
        <v>#DIV/0!</v>
      </c>
      <c r="N43" s="1" t="e">
        <f t="shared" si="13"/>
        <v>#DIV/0!</v>
      </c>
      <c r="O43" s="11"/>
      <c r="P43" s="11"/>
      <c r="Q43" s="11"/>
      <c r="R43" s="24">
        <v>0</v>
      </c>
      <c r="S43" s="25">
        <v>6</v>
      </c>
      <c r="T43" s="25">
        <v>3</v>
      </c>
      <c r="U43" s="25">
        <v>9</v>
      </c>
      <c r="V43" s="25">
        <v>6</v>
      </c>
      <c r="W43" s="50">
        <v>6</v>
      </c>
      <c r="X43" s="25">
        <v>1</v>
      </c>
      <c r="Y43" s="25">
        <f t="shared" si="0"/>
        <v>1.06</v>
      </c>
      <c r="Z43" s="25">
        <f t="shared" si="1"/>
        <v>1.0918</v>
      </c>
      <c r="AA43" s="25">
        <f t="shared" si="2"/>
        <v>1.1900620000000002</v>
      </c>
      <c r="AB43" s="25">
        <f t="shared" si="14"/>
        <v>1.2614657200000003</v>
      </c>
      <c r="AC43" s="50">
        <f t="shared" si="3"/>
        <v>1.3371536632000005</v>
      </c>
    </row>
    <row r="44" spans="1:29" ht="12.75">
      <c r="A44" s="1">
        <v>39</v>
      </c>
      <c r="B44" s="10" t="s">
        <v>363</v>
      </c>
      <c r="C44" s="200">
        <f>VLOOKUP(MID(B44,1,8)-0,'palkat 1.12.2018'!$B$9:$G$223,3,FALSE)</f>
        <v>2307.83</v>
      </c>
      <c r="D44" s="200">
        <f>VLOOKUP(MID(B44,1,8)-0,'palkat 1.12.2018'!$B$9:$G$223,5,FALSE)</f>
        <v>2286</v>
      </c>
      <c r="E44" s="11">
        <f>IF('muut muuttujat'!$G$3=1,C44,KÄYTTÖTAULU!$B$13)</f>
        <v>2307.83</v>
      </c>
      <c r="F44" s="11">
        <f>IF('muut muuttujat'!$G$3=1,D44,KÄYTTÖTAULU!$B$13)</f>
        <v>2286</v>
      </c>
      <c r="G44" s="11">
        <f>KÄYTTÖTAULU!$F$6</f>
        <v>0</v>
      </c>
      <c r="H44" s="11">
        <f>KÄYTTÖTAULU!$F$6</f>
        <v>0</v>
      </c>
      <c r="I44" s="11">
        <f t="shared" si="11"/>
        <v>0</v>
      </c>
      <c r="J44" s="11">
        <f t="shared" si="15"/>
        <v>0</v>
      </c>
      <c r="K44" s="1" t="e">
        <f>ROUND(I44/KÄYTTÖTAULU!$I$8,2)</f>
        <v>#DIV/0!</v>
      </c>
      <c r="L44" s="1" t="e">
        <f>ROUND(J44/KÄYTTÖTAULU!$I$8,2)</f>
        <v>#DIV/0!</v>
      </c>
      <c r="M44" s="1" t="e">
        <f t="shared" si="12"/>
        <v>#DIV/0!</v>
      </c>
      <c r="N44" s="1" t="e">
        <f t="shared" si="13"/>
        <v>#DIV/0!</v>
      </c>
      <c r="O44" s="11"/>
      <c r="P44" s="11"/>
      <c r="Q44" s="11"/>
      <c r="R44" s="24">
        <v>0</v>
      </c>
      <c r="S44" s="25">
        <v>6</v>
      </c>
      <c r="T44" s="25">
        <v>3</v>
      </c>
      <c r="U44" s="25">
        <v>9</v>
      </c>
      <c r="V44" s="25">
        <v>6</v>
      </c>
      <c r="W44" s="50">
        <v>6</v>
      </c>
      <c r="X44" s="25">
        <v>1</v>
      </c>
      <c r="Y44" s="25">
        <f t="shared" si="0"/>
        <v>1.06</v>
      </c>
      <c r="Z44" s="25">
        <f t="shared" si="1"/>
        <v>1.0918</v>
      </c>
      <c r="AA44" s="25">
        <f t="shared" si="2"/>
        <v>1.1900620000000002</v>
      </c>
      <c r="AB44" s="25">
        <f t="shared" si="14"/>
        <v>1.2614657200000003</v>
      </c>
      <c r="AC44" s="50">
        <f t="shared" si="3"/>
        <v>1.3371536632000005</v>
      </c>
    </row>
    <row r="45" spans="1:29" ht="12.75">
      <c r="A45" s="1">
        <v>40</v>
      </c>
      <c r="B45" s="10" t="s">
        <v>364</v>
      </c>
      <c r="C45" s="200">
        <f>VLOOKUP(MID(B45,1,8)-0,'palkat 1.12.2018'!$B$9:$G$223,3,FALSE)</f>
        <v>2259.82</v>
      </c>
      <c r="D45" s="200">
        <f>VLOOKUP(MID(B45,1,8)-0,'palkat 1.12.2018'!$B$9:$G$223,5,FALSE)</f>
        <v>2238.41</v>
      </c>
      <c r="E45" s="11">
        <f>IF('muut muuttujat'!$G$3=1,C45,KÄYTTÖTAULU!$B$13)</f>
        <v>2259.82</v>
      </c>
      <c r="F45" s="11">
        <f>IF('muut muuttujat'!$G$3=1,D45,KÄYTTÖTAULU!$B$13)</f>
        <v>2238.41</v>
      </c>
      <c r="G45" s="11">
        <f>KÄYTTÖTAULU!$F$6</f>
        <v>0</v>
      </c>
      <c r="H45" s="11">
        <f>KÄYTTÖTAULU!$F$6</f>
        <v>0</v>
      </c>
      <c r="I45" s="11">
        <f t="shared" si="11"/>
        <v>0</v>
      </c>
      <c r="J45" s="11">
        <f t="shared" si="15"/>
        <v>0</v>
      </c>
      <c r="K45" s="1" t="e">
        <f>ROUND(I45/KÄYTTÖTAULU!$I$8,2)</f>
        <v>#DIV/0!</v>
      </c>
      <c r="L45" s="1" t="e">
        <f>ROUND(J45/KÄYTTÖTAULU!$I$8,2)</f>
        <v>#DIV/0!</v>
      </c>
      <c r="M45" s="1" t="e">
        <f t="shared" si="12"/>
        <v>#DIV/0!</v>
      </c>
      <c r="N45" s="1" t="e">
        <f t="shared" si="13"/>
        <v>#DIV/0!</v>
      </c>
      <c r="O45" s="11"/>
      <c r="P45" s="11"/>
      <c r="Q45" s="11"/>
      <c r="R45" s="24">
        <v>0</v>
      </c>
      <c r="S45" s="25">
        <v>6</v>
      </c>
      <c r="T45" s="25">
        <v>3</v>
      </c>
      <c r="U45" s="25">
        <v>9</v>
      </c>
      <c r="V45" s="25">
        <v>6</v>
      </c>
      <c r="W45" s="50">
        <v>6</v>
      </c>
      <c r="X45" s="25">
        <v>1</v>
      </c>
      <c r="Y45" s="25">
        <f t="shared" si="0"/>
        <v>1.06</v>
      </c>
      <c r="Z45" s="25">
        <f t="shared" si="1"/>
        <v>1.0918</v>
      </c>
      <c r="AA45" s="25">
        <f t="shared" si="2"/>
        <v>1.1900620000000002</v>
      </c>
      <c r="AB45" s="25">
        <f t="shared" si="14"/>
        <v>1.2614657200000003</v>
      </c>
      <c r="AC45" s="50">
        <f t="shared" si="3"/>
        <v>1.3371536632000005</v>
      </c>
    </row>
    <row r="46" spans="1:29" ht="12.75">
      <c r="A46" s="1">
        <v>41</v>
      </c>
      <c r="B46" s="10" t="s">
        <v>365</v>
      </c>
      <c r="C46" s="200">
        <f>VLOOKUP(MID(B46,1,8)-0,'palkat 1.12.2018'!$B$9:$G$223,3,FALSE)</f>
        <v>1942.38</v>
      </c>
      <c r="D46" s="200">
        <f>VLOOKUP(MID(B46,1,8)-0,'palkat 1.12.2018'!$B$9:$G$223,5,FALSE)</f>
        <v>1926.1</v>
      </c>
      <c r="E46" s="11">
        <f>IF('muut muuttujat'!$G$3=1,C46,KÄYTTÖTAULU!$B$13)</f>
        <v>1942.38</v>
      </c>
      <c r="F46" s="11">
        <f>IF('muut muuttujat'!$G$3=1,D46,KÄYTTÖTAULU!$B$13)</f>
        <v>1926.1</v>
      </c>
      <c r="G46" s="11">
        <f>KÄYTTÖTAULU!$F$6</f>
        <v>0</v>
      </c>
      <c r="H46" s="11">
        <f>KÄYTTÖTAULU!$F$6</f>
        <v>0</v>
      </c>
      <c r="I46" s="11">
        <f t="shared" si="11"/>
        <v>0</v>
      </c>
      <c r="J46" s="11">
        <f t="shared" si="15"/>
        <v>0</v>
      </c>
      <c r="K46" s="1" t="e">
        <f>ROUND(I46/KÄYTTÖTAULU!$I$8,2)</f>
        <v>#DIV/0!</v>
      </c>
      <c r="L46" s="1" t="e">
        <f>ROUND(J46/KÄYTTÖTAULU!$I$8,2)</f>
        <v>#DIV/0!</v>
      </c>
      <c r="M46" s="1" t="e">
        <f t="shared" si="12"/>
        <v>#DIV/0!</v>
      </c>
      <c r="N46" s="1" t="e">
        <f t="shared" si="13"/>
        <v>#DIV/0!</v>
      </c>
      <c r="O46" s="11"/>
      <c r="P46" s="11"/>
      <c r="Q46" s="11"/>
      <c r="R46" s="24">
        <v>0</v>
      </c>
      <c r="S46" s="25">
        <v>6</v>
      </c>
      <c r="T46" s="25">
        <v>3</v>
      </c>
      <c r="U46" s="25">
        <v>9</v>
      </c>
      <c r="V46" s="25">
        <v>6</v>
      </c>
      <c r="W46" s="50">
        <v>6</v>
      </c>
      <c r="X46" s="25">
        <v>1</v>
      </c>
      <c r="Y46" s="25">
        <f t="shared" si="0"/>
        <v>1.06</v>
      </c>
      <c r="Z46" s="25">
        <f t="shared" si="1"/>
        <v>1.0918</v>
      </c>
      <c r="AA46" s="25">
        <f t="shared" si="2"/>
        <v>1.1900620000000002</v>
      </c>
      <c r="AB46" s="25">
        <f t="shared" si="14"/>
        <v>1.2614657200000003</v>
      </c>
      <c r="AC46" s="50">
        <f t="shared" si="3"/>
        <v>1.3371536632000005</v>
      </c>
    </row>
    <row r="47" spans="1:29" ht="12.75">
      <c r="A47" s="1">
        <v>42</v>
      </c>
      <c r="B47" s="10" t="s">
        <v>366</v>
      </c>
      <c r="C47" s="200">
        <f>VLOOKUP(MID(B47,1,8)-0,'palkat 1.12.2018'!$B$9:$G$223,3,FALSE)</f>
        <v>2872.98</v>
      </c>
      <c r="D47" s="200">
        <f>VLOOKUP(MID(B47,1,8)-0,'palkat 1.12.2018'!$B$9:$G$223,5,FALSE)</f>
        <v>2845.8</v>
      </c>
      <c r="E47" s="11">
        <f>IF('muut muuttujat'!$G$3=1,C47,KÄYTTÖTAULU!$B$13)</f>
        <v>2872.98</v>
      </c>
      <c r="F47" s="11">
        <f>IF('muut muuttujat'!$G$3=1,D47,KÄYTTÖTAULU!$B$13)</f>
        <v>2845.8</v>
      </c>
      <c r="G47" s="11">
        <f>KÄYTTÖTAULU!$F$6</f>
        <v>0</v>
      </c>
      <c r="H47" s="11">
        <f>KÄYTTÖTAULU!$F$6</f>
        <v>0</v>
      </c>
      <c r="I47" s="11">
        <f t="shared" si="11"/>
        <v>0</v>
      </c>
      <c r="J47" s="11">
        <f t="shared" si="15"/>
        <v>0</v>
      </c>
      <c r="K47" s="1" t="e">
        <f>ROUND(I47/KÄYTTÖTAULU!$I$8,2)</f>
        <v>#DIV/0!</v>
      </c>
      <c r="L47" s="1" t="e">
        <f>ROUND(J47/KÄYTTÖTAULU!$I$8,2)</f>
        <v>#DIV/0!</v>
      </c>
      <c r="M47" s="1" t="e">
        <f t="shared" si="12"/>
        <v>#DIV/0!</v>
      </c>
      <c r="N47" s="1" t="e">
        <f t="shared" si="13"/>
        <v>#DIV/0!</v>
      </c>
      <c r="O47" s="11" t="e">
        <f>ROUND(ROUND(E47*0.83/KÄYTTÖTAULU!$I$8*12/38,2)*0.94,2)</f>
        <v>#DIV/0!</v>
      </c>
      <c r="P47" s="11" t="e">
        <f>ROUND(ROUND(F47*0.83/KÄYTTÖTAULU!$I$8*12/38,2)*0.94,2)</f>
        <v>#DIV/0!</v>
      </c>
      <c r="Q47" s="11"/>
      <c r="R47" s="24">
        <v>0</v>
      </c>
      <c r="S47" s="25">
        <v>4</v>
      </c>
      <c r="T47" s="25">
        <v>4</v>
      </c>
      <c r="U47" s="25">
        <v>6</v>
      </c>
      <c r="V47" s="25">
        <v>6</v>
      </c>
      <c r="W47" s="50">
        <v>6</v>
      </c>
      <c r="X47" s="25">
        <v>1</v>
      </c>
      <c r="Y47" s="25">
        <f t="shared" si="0"/>
        <v>1.04</v>
      </c>
      <c r="Z47" s="25">
        <f t="shared" si="1"/>
        <v>1.0816000000000001</v>
      </c>
      <c r="AA47" s="25">
        <f t="shared" si="2"/>
        <v>1.1464960000000002</v>
      </c>
      <c r="AB47" s="25">
        <f t="shared" si="14"/>
        <v>1.2152857600000002</v>
      </c>
      <c r="AC47" s="50">
        <f t="shared" si="3"/>
        <v>1.2882029056000004</v>
      </c>
    </row>
    <row r="48" spans="1:29" ht="12.75">
      <c r="A48" s="1">
        <v>43</v>
      </c>
      <c r="B48" s="10" t="s">
        <v>367</v>
      </c>
      <c r="C48" s="200">
        <f>VLOOKUP(MID(B48,1,8)-0,'palkat 1.12.2018'!$B$9:$G$223,3,FALSE)</f>
        <v>2678.39</v>
      </c>
      <c r="D48" s="200">
        <f>VLOOKUP(MID(B48,1,8)-0,'palkat 1.12.2018'!$B$9:$G$223,5,FALSE)</f>
        <v>2653.08</v>
      </c>
      <c r="E48" s="11">
        <f>IF('muut muuttujat'!$G$3=1,C48,KÄYTTÖTAULU!$B$13)</f>
        <v>2678.39</v>
      </c>
      <c r="F48" s="11">
        <f>IF('muut muuttujat'!$G$3=1,D48,KÄYTTÖTAULU!$B$13)</f>
        <v>2653.08</v>
      </c>
      <c r="G48" s="11">
        <f>KÄYTTÖTAULU!$F$6</f>
        <v>0</v>
      </c>
      <c r="H48" s="11">
        <f>KÄYTTÖTAULU!$F$6</f>
        <v>0</v>
      </c>
      <c r="I48" s="11">
        <f t="shared" si="11"/>
        <v>0</v>
      </c>
      <c r="J48" s="11">
        <f t="shared" si="15"/>
        <v>0</v>
      </c>
      <c r="K48" s="1" t="e">
        <f>ROUND(I48/KÄYTTÖTAULU!$I$8,2)</f>
        <v>#DIV/0!</v>
      </c>
      <c r="L48" s="1" t="e">
        <f>ROUND(J48/KÄYTTÖTAULU!$I$8,2)</f>
        <v>#DIV/0!</v>
      </c>
      <c r="M48" s="1" t="e">
        <f t="shared" si="12"/>
        <v>#DIV/0!</v>
      </c>
      <c r="N48" s="1" t="e">
        <f t="shared" si="13"/>
        <v>#DIV/0!</v>
      </c>
      <c r="O48" s="11" t="e">
        <f>ROUND(ROUND(E48*0.83/KÄYTTÖTAULU!$I$8*12/38,2)*0.94,2)</f>
        <v>#DIV/0!</v>
      </c>
      <c r="P48" s="11" t="e">
        <f>ROUND(ROUND(F48*0.83/KÄYTTÖTAULU!$I$8*12/38,2)*0.94,2)</f>
        <v>#DIV/0!</v>
      </c>
      <c r="Q48" s="11"/>
      <c r="R48" s="24">
        <v>0</v>
      </c>
      <c r="S48" s="25">
        <v>4</v>
      </c>
      <c r="T48" s="25">
        <v>4</v>
      </c>
      <c r="U48" s="25">
        <v>6</v>
      </c>
      <c r="V48" s="25">
        <v>6</v>
      </c>
      <c r="W48" s="50">
        <v>6</v>
      </c>
      <c r="X48" s="25">
        <v>1</v>
      </c>
      <c r="Y48" s="25">
        <f t="shared" si="0"/>
        <v>1.04</v>
      </c>
      <c r="Z48" s="25">
        <f t="shared" si="1"/>
        <v>1.0816000000000001</v>
      </c>
      <c r="AA48" s="25">
        <f t="shared" si="2"/>
        <v>1.1464960000000002</v>
      </c>
      <c r="AB48" s="25">
        <f t="shared" si="14"/>
        <v>1.2152857600000002</v>
      </c>
      <c r="AC48" s="50">
        <f t="shared" si="3"/>
        <v>1.2882029056000004</v>
      </c>
    </row>
    <row r="49" spans="1:29" ht="12.75">
      <c r="A49" s="1">
        <v>44</v>
      </c>
      <c r="B49" s="10" t="s">
        <v>368</v>
      </c>
      <c r="C49" s="200">
        <f>VLOOKUP(MID(B49,1,8)-0,'palkat 1.12.2018'!$B$9:$G$223,3,FALSE)</f>
        <v>2347.7</v>
      </c>
      <c r="D49" s="200">
        <f>VLOOKUP(MID(B49,1,8)-0,'palkat 1.12.2018'!$B$9:$G$223,5,FALSE)</f>
        <v>2325.5</v>
      </c>
      <c r="E49" s="11">
        <f>IF('muut muuttujat'!$G$3=1,C49,KÄYTTÖTAULU!$B$13)</f>
        <v>2347.7</v>
      </c>
      <c r="F49" s="11">
        <f>IF('muut muuttujat'!$G$3=1,D49,KÄYTTÖTAULU!$B$13)</f>
        <v>2325.5</v>
      </c>
      <c r="G49" s="11">
        <f>KÄYTTÖTAULU!$F$6</f>
        <v>0</v>
      </c>
      <c r="H49" s="11">
        <f>KÄYTTÖTAULU!$F$6</f>
        <v>0</v>
      </c>
      <c r="I49" s="11">
        <f t="shared" si="11"/>
        <v>0</v>
      </c>
      <c r="J49" s="11">
        <f t="shared" si="15"/>
        <v>0</v>
      </c>
      <c r="K49" s="1" t="e">
        <f>ROUND(I49/KÄYTTÖTAULU!$I$8,2)</f>
        <v>#DIV/0!</v>
      </c>
      <c r="L49" s="1" t="e">
        <f>ROUND(J49/KÄYTTÖTAULU!$I$8,2)</f>
        <v>#DIV/0!</v>
      </c>
      <c r="M49" s="1" t="e">
        <f t="shared" si="12"/>
        <v>#DIV/0!</v>
      </c>
      <c r="N49" s="1" t="e">
        <f t="shared" si="13"/>
        <v>#DIV/0!</v>
      </c>
      <c r="O49" s="11" t="e">
        <f>ROUND(ROUND(E49*0.83/KÄYTTÖTAULU!$I$8*12/38,2)*0.94,2)</f>
        <v>#DIV/0!</v>
      </c>
      <c r="P49" s="11" t="e">
        <f>ROUND(ROUND(F49*0.83/KÄYTTÖTAULU!$I$8*12/38,2)*0.94,2)</f>
        <v>#DIV/0!</v>
      </c>
      <c r="Q49" s="11"/>
      <c r="R49" s="24">
        <v>0</v>
      </c>
      <c r="S49" s="25">
        <v>4</v>
      </c>
      <c r="T49" s="25">
        <v>4</v>
      </c>
      <c r="U49" s="25">
        <v>6</v>
      </c>
      <c r="V49" s="25">
        <v>6</v>
      </c>
      <c r="W49" s="50">
        <v>6</v>
      </c>
      <c r="X49" s="25">
        <v>1</v>
      </c>
      <c r="Y49" s="25">
        <f t="shared" si="0"/>
        <v>1.04</v>
      </c>
      <c r="Z49" s="25">
        <f t="shared" si="1"/>
        <v>1.0816000000000001</v>
      </c>
      <c r="AA49" s="25">
        <f t="shared" si="2"/>
        <v>1.1464960000000002</v>
      </c>
      <c r="AB49" s="25">
        <f t="shared" si="14"/>
        <v>1.2152857600000002</v>
      </c>
      <c r="AC49" s="50">
        <f t="shared" si="3"/>
        <v>1.2882029056000004</v>
      </c>
    </row>
    <row r="50" spans="1:29" ht="12.75">
      <c r="A50" s="1">
        <v>45</v>
      </c>
      <c r="B50" s="10" t="s">
        <v>369</v>
      </c>
      <c r="C50" s="200">
        <f>VLOOKUP(MID(B50,1,8)-0,'palkat 1.12.2018'!$B$9:$G$223,3,FALSE)</f>
        <v>2247.2</v>
      </c>
      <c r="D50" s="200">
        <f>VLOOKUP(MID(B50,1,8)-0,'palkat 1.12.2018'!$B$9:$G$223,5,FALSE)</f>
        <v>2225.95</v>
      </c>
      <c r="E50" s="11">
        <f>IF('muut muuttujat'!$G$3=1,C50,KÄYTTÖTAULU!$B$13)</f>
        <v>2247.2</v>
      </c>
      <c r="F50" s="11">
        <f>IF('muut muuttujat'!$G$3=1,D50,KÄYTTÖTAULU!$B$13)</f>
        <v>2225.95</v>
      </c>
      <c r="G50" s="11">
        <f>KÄYTTÖTAULU!$F$6</f>
        <v>0</v>
      </c>
      <c r="H50" s="11">
        <f>KÄYTTÖTAULU!$F$6</f>
        <v>0</v>
      </c>
      <c r="I50" s="11">
        <f t="shared" si="11"/>
        <v>0</v>
      </c>
      <c r="J50" s="11">
        <f t="shared" si="15"/>
        <v>0</v>
      </c>
      <c r="K50" s="1" t="e">
        <f>ROUND(I50/KÄYTTÖTAULU!$I$8,2)</f>
        <v>#DIV/0!</v>
      </c>
      <c r="L50" s="1" t="e">
        <f>ROUND(J50/KÄYTTÖTAULU!$I$8,2)</f>
        <v>#DIV/0!</v>
      </c>
      <c r="M50" s="1" t="e">
        <f t="shared" si="12"/>
        <v>#DIV/0!</v>
      </c>
      <c r="N50" s="1" t="e">
        <f t="shared" si="13"/>
        <v>#DIV/0!</v>
      </c>
      <c r="O50" s="11" t="e">
        <f>ROUND(ROUND(E50*0.83/KÄYTTÖTAULU!$I$8*12/38,2)*0.94,2)</f>
        <v>#DIV/0!</v>
      </c>
      <c r="P50" s="11" t="e">
        <f>ROUND(ROUND(F50*0.83/KÄYTTÖTAULU!$I$8*12/38,2)*0.94,2)</f>
        <v>#DIV/0!</v>
      </c>
      <c r="Q50" s="11"/>
      <c r="R50" s="24">
        <v>0</v>
      </c>
      <c r="S50" s="25">
        <v>4</v>
      </c>
      <c r="T50" s="25">
        <v>4</v>
      </c>
      <c r="U50" s="25">
        <v>6</v>
      </c>
      <c r="V50" s="25">
        <v>6</v>
      </c>
      <c r="W50" s="50">
        <v>6</v>
      </c>
      <c r="X50" s="25">
        <v>1</v>
      </c>
      <c r="Y50" s="25">
        <f t="shared" si="0"/>
        <v>1.04</v>
      </c>
      <c r="Z50" s="25">
        <f t="shared" si="1"/>
        <v>1.0816000000000001</v>
      </c>
      <c r="AA50" s="25">
        <f t="shared" si="2"/>
        <v>1.1464960000000002</v>
      </c>
      <c r="AB50" s="25">
        <f t="shared" si="14"/>
        <v>1.2152857600000002</v>
      </c>
      <c r="AC50" s="50">
        <f t="shared" si="3"/>
        <v>1.2882029056000004</v>
      </c>
    </row>
    <row r="51" spans="1:29" ht="12.75">
      <c r="A51" s="1">
        <v>46</v>
      </c>
      <c r="B51" s="10" t="s">
        <v>370</v>
      </c>
      <c r="C51" s="200">
        <f>VLOOKUP(MID(B51,1,8)-0,'palkat 1.12.2018'!$B$9:$G$223,3,FALSE)</f>
        <v>2123.97</v>
      </c>
      <c r="D51" s="200">
        <f>VLOOKUP(MID(B51,1,8)-0,'palkat 1.12.2018'!$B$9:$G$223,5,FALSE)</f>
        <v>2103.89</v>
      </c>
      <c r="E51" s="11">
        <f>IF('muut muuttujat'!$G$3=1,C51,KÄYTTÖTAULU!$B$13)</f>
        <v>2123.97</v>
      </c>
      <c r="F51" s="11">
        <f>IF('muut muuttujat'!$G$3=1,D51,KÄYTTÖTAULU!$B$13)</f>
        <v>2103.89</v>
      </c>
      <c r="G51" s="11">
        <f>KÄYTTÖTAULU!$F$6</f>
        <v>0</v>
      </c>
      <c r="H51" s="11">
        <f>KÄYTTÖTAULU!$F$6</f>
        <v>0</v>
      </c>
      <c r="I51" s="11">
        <f t="shared" si="11"/>
        <v>0</v>
      </c>
      <c r="J51" s="11">
        <f t="shared" si="15"/>
        <v>0</v>
      </c>
      <c r="K51" s="1" t="e">
        <f>ROUND(I51/KÄYTTÖTAULU!$I$8,2)</f>
        <v>#DIV/0!</v>
      </c>
      <c r="L51" s="1" t="e">
        <f>ROUND(J51/KÄYTTÖTAULU!$I$8,2)</f>
        <v>#DIV/0!</v>
      </c>
      <c r="M51" s="1" t="e">
        <f t="shared" si="12"/>
        <v>#DIV/0!</v>
      </c>
      <c r="N51" s="1" t="e">
        <f t="shared" si="13"/>
        <v>#DIV/0!</v>
      </c>
      <c r="O51" s="11" t="e">
        <f>ROUND(ROUND(E51*0.83/KÄYTTÖTAULU!$I$8*12/38,2)*0.94,2)</f>
        <v>#DIV/0!</v>
      </c>
      <c r="P51" s="11" t="e">
        <f>ROUND(ROUND(F51*0.83/KÄYTTÖTAULU!$I$8*12/38,2)*0.94,2)</f>
        <v>#DIV/0!</v>
      </c>
      <c r="Q51" s="11"/>
      <c r="R51" s="24">
        <v>0</v>
      </c>
      <c r="S51" s="25">
        <v>4</v>
      </c>
      <c r="T51" s="25">
        <v>4</v>
      </c>
      <c r="U51" s="25">
        <v>6</v>
      </c>
      <c r="V51" s="25">
        <v>6</v>
      </c>
      <c r="W51" s="50">
        <v>6</v>
      </c>
      <c r="X51" s="25">
        <v>1</v>
      </c>
      <c r="Y51" s="25">
        <f t="shared" si="0"/>
        <v>1.04</v>
      </c>
      <c r="Z51" s="25">
        <f t="shared" si="1"/>
        <v>1.0816000000000001</v>
      </c>
      <c r="AA51" s="25">
        <f t="shared" si="2"/>
        <v>1.1464960000000002</v>
      </c>
      <c r="AB51" s="25">
        <f t="shared" si="14"/>
        <v>1.2152857600000002</v>
      </c>
      <c r="AC51" s="50">
        <f t="shared" si="3"/>
        <v>1.2882029056000004</v>
      </c>
    </row>
    <row r="52" spans="1:29" ht="12.75">
      <c r="A52" s="1">
        <v>47</v>
      </c>
      <c r="B52" s="10" t="s">
        <v>371</v>
      </c>
      <c r="C52" s="200">
        <f>VLOOKUP(MID(B52,1,8)-0,'palkat 1.12.2018'!$B$9:$G$223,3,FALSE)</f>
        <v>2892.92</v>
      </c>
      <c r="D52" s="200">
        <f>VLOOKUP(MID(B52,1,8)-0,'palkat 1.12.2018'!$B$9:$G$223,5,FALSE)</f>
        <v>2865.56</v>
      </c>
      <c r="E52" s="11">
        <f>IF('muut muuttujat'!$G$3=1,C52,KÄYTTÖTAULU!$B$13)</f>
        <v>2892.92</v>
      </c>
      <c r="F52" s="11">
        <f>IF('muut muuttujat'!$G$3=1,D52,KÄYTTÖTAULU!$B$13)</f>
        <v>2865.56</v>
      </c>
      <c r="G52" s="11">
        <f>KÄYTTÖTAULU!$F$6</f>
        <v>0</v>
      </c>
      <c r="H52" s="11">
        <f>KÄYTTÖTAULU!$F$6</f>
        <v>0</v>
      </c>
      <c r="I52" s="11">
        <f t="shared" si="11"/>
        <v>0</v>
      </c>
      <c r="J52" s="11">
        <f t="shared" si="15"/>
        <v>0</v>
      </c>
      <c r="K52" s="1" t="e">
        <f>ROUND(I52/KÄYTTÖTAULU!$I$8,2)</f>
        <v>#DIV/0!</v>
      </c>
      <c r="L52" s="1" t="e">
        <f>ROUND(J52/KÄYTTÖTAULU!$I$8,2)</f>
        <v>#DIV/0!</v>
      </c>
      <c r="M52" s="1" t="e">
        <f t="shared" si="12"/>
        <v>#DIV/0!</v>
      </c>
      <c r="N52" s="1" t="e">
        <f t="shared" si="13"/>
        <v>#DIV/0!</v>
      </c>
      <c r="O52" s="11" t="e">
        <f>ROUND(ROUND(E52*0.83/KÄYTTÖTAULU!$I$8*12/38,2)*0.94,2)</f>
        <v>#DIV/0!</v>
      </c>
      <c r="P52" s="11" t="e">
        <f>ROUND(ROUND(F52*0.83/KÄYTTÖTAULU!$I$8*12/38,2)*0.94,2)</f>
        <v>#DIV/0!</v>
      </c>
      <c r="Q52" s="11"/>
      <c r="R52" s="24">
        <v>0</v>
      </c>
      <c r="S52" s="25">
        <v>4</v>
      </c>
      <c r="T52" s="25">
        <v>4</v>
      </c>
      <c r="U52" s="25">
        <v>6</v>
      </c>
      <c r="V52" s="25">
        <v>6</v>
      </c>
      <c r="W52" s="50">
        <v>6</v>
      </c>
      <c r="X52" s="25">
        <v>1</v>
      </c>
      <c r="Y52" s="25">
        <f t="shared" si="0"/>
        <v>1.04</v>
      </c>
      <c r="Z52" s="25">
        <f t="shared" si="1"/>
        <v>1.0816000000000001</v>
      </c>
      <c r="AA52" s="25">
        <f t="shared" si="2"/>
        <v>1.1464960000000002</v>
      </c>
      <c r="AB52" s="25">
        <f t="shared" si="14"/>
        <v>1.2152857600000002</v>
      </c>
      <c r="AC52" s="50">
        <f t="shared" si="3"/>
        <v>1.2882029056000004</v>
      </c>
    </row>
    <row r="53" spans="1:29" ht="12.75">
      <c r="A53" s="1">
        <v>48</v>
      </c>
      <c r="B53" s="10" t="s">
        <v>372</v>
      </c>
      <c r="C53" s="200">
        <f>VLOOKUP(MID(B53,1,8)-0,'palkat 1.12.2018'!$B$9:$G$223,3,FALSE)</f>
        <v>2791.76</v>
      </c>
      <c r="D53" s="200">
        <f>VLOOKUP(MID(B53,1,8)-0,'palkat 1.12.2018'!$B$9:$G$223,5,FALSE)</f>
        <v>2765.35</v>
      </c>
      <c r="E53" s="11">
        <f>IF('muut muuttujat'!$G$3=1,C53,KÄYTTÖTAULU!$B$13)</f>
        <v>2791.76</v>
      </c>
      <c r="F53" s="11">
        <f>IF('muut muuttujat'!$G$3=1,D53,KÄYTTÖTAULU!$B$13)</f>
        <v>2765.35</v>
      </c>
      <c r="G53" s="11">
        <f>KÄYTTÖTAULU!$F$6</f>
        <v>0</v>
      </c>
      <c r="H53" s="11">
        <f>KÄYTTÖTAULU!$F$6</f>
        <v>0</v>
      </c>
      <c r="I53" s="11">
        <f t="shared" si="11"/>
        <v>0</v>
      </c>
      <c r="J53" s="11">
        <f t="shared" si="15"/>
        <v>0</v>
      </c>
      <c r="K53" s="1" t="e">
        <f>ROUND(I53/KÄYTTÖTAULU!$I$8,2)</f>
        <v>#DIV/0!</v>
      </c>
      <c r="L53" s="1" t="e">
        <f>ROUND(J53/KÄYTTÖTAULU!$I$8,2)</f>
        <v>#DIV/0!</v>
      </c>
      <c r="M53" s="1" t="e">
        <f t="shared" si="12"/>
        <v>#DIV/0!</v>
      </c>
      <c r="N53" s="1" t="e">
        <f t="shared" si="13"/>
        <v>#DIV/0!</v>
      </c>
      <c r="O53" s="11" t="e">
        <f>ROUND(ROUND(E53*0.83/KÄYTTÖTAULU!$I$8*12/38,2)*0.94,2)</f>
        <v>#DIV/0!</v>
      </c>
      <c r="P53" s="11" t="e">
        <f>ROUND(ROUND(F53*0.83/KÄYTTÖTAULU!$I$8*12/38,2)*0.94,2)</f>
        <v>#DIV/0!</v>
      </c>
      <c r="Q53" s="11"/>
      <c r="R53" s="24">
        <v>0</v>
      </c>
      <c r="S53" s="25">
        <v>4</v>
      </c>
      <c r="T53" s="25">
        <v>4</v>
      </c>
      <c r="U53" s="25">
        <v>6</v>
      </c>
      <c r="V53" s="25">
        <v>6</v>
      </c>
      <c r="W53" s="50">
        <v>6</v>
      </c>
      <c r="X53" s="25">
        <v>1</v>
      </c>
      <c r="Y53" s="25">
        <f t="shared" si="0"/>
        <v>1.04</v>
      </c>
      <c r="Z53" s="25">
        <f t="shared" si="1"/>
        <v>1.0816000000000001</v>
      </c>
      <c r="AA53" s="25">
        <f t="shared" si="2"/>
        <v>1.1464960000000002</v>
      </c>
      <c r="AB53" s="25">
        <f t="shared" si="14"/>
        <v>1.2152857600000002</v>
      </c>
      <c r="AC53" s="50">
        <f t="shared" si="3"/>
        <v>1.2882029056000004</v>
      </c>
    </row>
    <row r="54" spans="1:29" ht="12.75">
      <c r="A54" s="1">
        <v>49</v>
      </c>
      <c r="B54" s="10" t="s">
        <v>373</v>
      </c>
      <c r="C54" s="200">
        <f>VLOOKUP(MID(B54,1,8)-0,'palkat 1.12.2018'!$B$9:$G$223,3,FALSE)</f>
        <v>2702.28</v>
      </c>
      <c r="D54" s="200">
        <f>VLOOKUP(MID(B54,1,8)-0,'palkat 1.12.2018'!$B$9:$G$223,5,FALSE)</f>
        <v>2676.69</v>
      </c>
      <c r="E54" s="11">
        <f>IF('muut muuttujat'!$G$3=1,C54,KÄYTTÖTAULU!$B$13)</f>
        <v>2702.28</v>
      </c>
      <c r="F54" s="11">
        <f>IF('muut muuttujat'!$G$3=1,D54,KÄYTTÖTAULU!$B$13)</f>
        <v>2676.69</v>
      </c>
      <c r="G54" s="11">
        <f>KÄYTTÖTAULU!$F$6</f>
        <v>0</v>
      </c>
      <c r="H54" s="11">
        <f>KÄYTTÖTAULU!$F$6</f>
        <v>0</v>
      </c>
      <c r="I54" s="11">
        <f t="shared" si="11"/>
        <v>0</v>
      </c>
      <c r="J54" s="11">
        <f t="shared" si="15"/>
        <v>0</v>
      </c>
      <c r="K54" s="1" t="e">
        <f>ROUND(I54/KÄYTTÖTAULU!$I$8,2)</f>
        <v>#DIV/0!</v>
      </c>
      <c r="L54" s="1" t="e">
        <f>ROUND(J54/KÄYTTÖTAULU!$I$8,2)</f>
        <v>#DIV/0!</v>
      </c>
      <c r="M54" s="1" t="e">
        <f t="shared" si="12"/>
        <v>#DIV/0!</v>
      </c>
      <c r="N54" s="1" t="e">
        <f t="shared" si="13"/>
        <v>#DIV/0!</v>
      </c>
      <c r="O54" s="11" t="e">
        <f>ROUND(ROUND(E54*0.83/KÄYTTÖTAULU!$I$8*12/38,2)*0.94,2)</f>
        <v>#DIV/0!</v>
      </c>
      <c r="P54" s="11" t="e">
        <f>ROUND(ROUND(F54*0.83/KÄYTTÖTAULU!$I$8*12/38,2)*0.94,2)</f>
        <v>#DIV/0!</v>
      </c>
      <c r="Q54" s="11"/>
      <c r="R54" s="24">
        <v>0</v>
      </c>
      <c r="S54" s="25">
        <v>4</v>
      </c>
      <c r="T54" s="25">
        <v>4</v>
      </c>
      <c r="U54" s="25">
        <v>6</v>
      </c>
      <c r="V54" s="25">
        <v>6</v>
      </c>
      <c r="W54" s="50">
        <v>6</v>
      </c>
      <c r="X54" s="25">
        <v>1</v>
      </c>
      <c r="Y54" s="25">
        <f t="shared" si="0"/>
        <v>1.04</v>
      </c>
      <c r="Z54" s="25">
        <f t="shared" si="1"/>
        <v>1.0816000000000001</v>
      </c>
      <c r="AA54" s="25">
        <f t="shared" si="2"/>
        <v>1.1464960000000002</v>
      </c>
      <c r="AB54" s="25">
        <f t="shared" si="14"/>
        <v>1.2152857600000002</v>
      </c>
      <c r="AC54" s="50">
        <f t="shared" si="3"/>
        <v>1.2882029056000004</v>
      </c>
    </row>
    <row r="55" spans="1:29" ht="12.75">
      <c r="A55" s="1">
        <v>50</v>
      </c>
      <c r="B55" s="10" t="s">
        <v>374</v>
      </c>
      <c r="C55" s="200">
        <f>VLOOKUP(MID(B55,1,8)-0,'palkat 1.12.2018'!$B$9:$G$223,3,FALSE)</f>
        <v>2660.14</v>
      </c>
      <c r="D55" s="200">
        <f>VLOOKUP(MID(B55,1,8)-0,'palkat 1.12.2018'!$B$9:$G$223,5,FALSE)</f>
        <v>2635</v>
      </c>
      <c r="E55" s="11">
        <f>IF('muut muuttujat'!$G$3=1,C55,KÄYTTÖTAULU!$B$13)</f>
        <v>2660.14</v>
      </c>
      <c r="F55" s="11">
        <f>IF('muut muuttujat'!$G$3=1,D55,KÄYTTÖTAULU!$B$13)</f>
        <v>2635</v>
      </c>
      <c r="G55" s="11">
        <f>KÄYTTÖTAULU!$F$6</f>
        <v>0</v>
      </c>
      <c r="H55" s="11">
        <f>KÄYTTÖTAULU!$F$6</f>
        <v>0</v>
      </c>
      <c r="I55" s="11">
        <f t="shared" si="11"/>
        <v>0</v>
      </c>
      <c r="J55" s="11">
        <f t="shared" si="15"/>
        <v>0</v>
      </c>
      <c r="K55" s="1" t="e">
        <f>ROUND(I55/KÄYTTÖTAULU!$I$8,2)</f>
        <v>#DIV/0!</v>
      </c>
      <c r="L55" s="1" t="e">
        <f>ROUND(J55/KÄYTTÖTAULU!$I$8,2)</f>
        <v>#DIV/0!</v>
      </c>
      <c r="M55" s="1" t="e">
        <f t="shared" si="12"/>
        <v>#DIV/0!</v>
      </c>
      <c r="N55" s="1" t="e">
        <f t="shared" si="13"/>
        <v>#DIV/0!</v>
      </c>
      <c r="O55" s="11" t="e">
        <f>ROUND(ROUND(E55*0.83/KÄYTTÖTAULU!$I$8*12/38,2)*0.94,2)</f>
        <v>#DIV/0!</v>
      </c>
      <c r="P55" s="11" t="e">
        <f>ROUND(ROUND(F55*0.83/KÄYTTÖTAULU!$I$8*12/38,2)*0.94,2)</f>
        <v>#DIV/0!</v>
      </c>
      <c r="Q55" s="11"/>
      <c r="R55" s="24">
        <v>0</v>
      </c>
      <c r="S55" s="25">
        <v>4</v>
      </c>
      <c r="T55" s="25">
        <v>4</v>
      </c>
      <c r="U55" s="25">
        <v>6</v>
      </c>
      <c r="V55" s="25">
        <v>6</v>
      </c>
      <c r="W55" s="50">
        <v>6</v>
      </c>
      <c r="X55" s="25">
        <v>1</v>
      </c>
      <c r="Y55" s="25">
        <f t="shared" si="0"/>
        <v>1.04</v>
      </c>
      <c r="Z55" s="25">
        <f t="shared" si="1"/>
        <v>1.0816000000000001</v>
      </c>
      <c r="AA55" s="25">
        <f t="shared" si="2"/>
        <v>1.1464960000000002</v>
      </c>
      <c r="AB55" s="25">
        <f t="shared" si="14"/>
        <v>1.2152857600000002</v>
      </c>
      <c r="AC55" s="50">
        <f t="shared" si="3"/>
        <v>1.2882029056000004</v>
      </c>
    </row>
    <row r="56" spans="1:29" ht="12.75">
      <c r="A56" s="1">
        <v>51</v>
      </c>
      <c r="B56" s="10" t="s">
        <v>375</v>
      </c>
      <c r="C56" s="200">
        <f>VLOOKUP(MID(B56,1,8)-0,'palkat 1.12.2018'!$B$9:$G$223,3,FALSE)</f>
        <v>2549.5</v>
      </c>
      <c r="D56" s="200">
        <f>VLOOKUP(MID(B56,1,8)-0,'palkat 1.12.2018'!$B$9:$G$223,5,FALSE)</f>
        <v>2525.44</v>
      </c>
      <c r="E56" s="11">
        <f>IF('muut muuttujat'!$G$3=1,C56,KÄYTTÖTAULU!$B$13)</f>
        <v>2549.5</v>
      </c>
      <c r="F56" s="11">
        <f>IF('muut muuttujat'!$G$3=1,D56,KÄYTTÖTAULU!$B$13)</f>
        <v>2525.44</v>
      </c>
      <c r="G56" s="11">
        <f>KÄYTTÖTAULU!$F$6</f>
        <v>0</v>
      </c>
      <c r="H56" s="11">
        <f>KÄYTTÖTAULU!$F$6</f>
        <v>0</v>
      </c>
      <c r="I56" s="11">
        <f t="shared" si="11"/>
        <v>0</v>
      </c>
      <c r="J56" s="11">
        <f t="shared" si="15"/>
        <v>0</v>
      </c>
      <c r="K56" s="1" t="e">
        <f>ROUND(I56/KÄYTTÖTAULU!$I$8,2)</f>
        <v>#DIV/0!</v>
      </c>
      <c r="L56" s="1" t="e">
        <f>ROUND(J56/KÄYTTÖTAULU!$I$8,2)</f>
        <v>#DIV/0!</v>
      </c>
      <c r="M56" s="1" t="e">
        <f t="shared" si="12"/>
        <v>#DIV/0!</v>
      </c>
      <c r="N56" s="1" t="e">
        <f t="shared" si="13"/>
        <v>#DIV/0!</v>
      </c>
      <c r="O56" s="11" t="e">
        <f>ROUND(ROUND(E56*0.83/KÄYTTÖTAULU!$I$8*12/38,2)*0.94,2)</f>
        <v>#DIV/0!</v>
      </c>
      <c r="P56" s="11" t="e">
        <f>ROUND(ROUND(F56*0.83/KÄYTTÖTAULU!$I$8*12/38,2)*0.94,2)</f>
        <v>#DIV/0!</v>
      </c>
      <c r="Q56" s="11"/>
      <c r="R56" s="24">
        <v>0</v>
      </c>
      <c r="S56" s="25">
        <v>4</v>
      </c>
      <c r="T56" s="25">
        <v>4</v>
      </c>
      <c r="U56" s="25">
        <v>6</v>
      </c>
      <c r="V56" s="25">
        <v>6</v>
      </c>
      <c r="W56" s="50">
        <v>6</v>
      </c>
      <c r="X56" s="25">
        <v>1</v>
      </c>
      <c r="Y56" s="25">
        <f t="shared" si="0"/>
        <v>1.04</v>
      </c>
      <c r="Z56" s="25">
        <f t="shared" si="1"/>
        <v>1.0816000000000001</v>
      </c>
      <c r="AA56" s="25">
        <f t="shared" si="2"/>
        <v>1.1464960000000002</v>
      </c>
      <c r="AB56" s="25">
        <f t="shared" si="14"/>
        <v>1.2152857600000002</v>
      </c>
      <c r="AC56" s="50">
        <f t="shared" si="3"/>
        <v>1.2882029056000004</v>
      </c>
    </row>
    <row r="57" spans="1:29" ht="12.75">
      <c r="A57" s="1">
        <v>52</v>
      </c>
      <c r="B57" s="10" t="s">
        <v>376</v>
      </c>
      <c r="C57" s="200">
        <f>VLOOKUP(MID(B57,1,8)-0,'palkat 1.12.2018'!$B$9:$G$223,3,FALSE)</f>
        <v>2228.36</v>
      </c>
      <c r="D57" s="200">
        <f>VLOOKUP(MID(B57,1,8)-0,'palkat 1.12.2018'!$B$9:$G$223,5,FALSE)</f>
        <v>2207.28</v>
      </c>
      <c r="E57" s="11">
        <f>IF('muut muuttujat'!$G$3=1,C57,KÄYTTÖTAULU!$B$13)</f>
        <v>2228.36</v>
      </c>
      <c r="F57" s="11">
        <f>IF('muut muuttujat'!$G$3=1,D57,KÄYTTÖTAULU!$B$13)</f>
        <v>2207.28</v>
      </c>
      <c r="G57" s="11">
        <f>KÄYTTÖTAULU!$F$6</f>
        <v>0</v>
      </c>
      <c r="H57" s="11">
        <f>KÄYTTÖTAULU!$F$6</f>
        <v>0</v>
      </c>
      <c r="I57" s="11">
        <f t="shared" si="11"/>
        <v>0</v>
      </c>
      <c r="J57" s="11">
        <f t="shared" si="15"/>
        <v>0</v>
      </c>
      <c r="K57" s="1" t="e">
        <f>ROUND(I57/KÄYTTÖTAULU!$I$8,2)</f>
        <v>#DIV/0!</v>
      </c>
      <c r="L57" s="1" t="e">
        <f>ROUND(J57/KÄYTTÖTAULU!$I$8,2)</f>
        <v>#DIV/0!</v>
      </c>
      <c r="M57" s="1" t="e">
        <f t="shared" si="12"/>
        <v>#DIV/0!</v>
      </c>
      <c r="N57" s="1" t="e">
        <f t="shared" si="13"/>
        <v>#DIV/0!</v>
      </c>
      <c r="O57" s="11" t="e">
        <f>ROUND(ROUND(E57*0.83/KÄYTTÖTAULU!$I$8*12/38,2)*0.94,2)</f>
        <v>#DIV/0!</v>
      </c>
      <c r="P57" s="11" t="e">
        <f>ROUND(ROUND(F57*0.83/KÄYTTÖTAULU!$I$8*12/38,2)*0.94,2)</f>
        <v>#DIV/0!</v>
      </c>
      <c r="Q57" s="11"/>
      <c r="R57" s="24">
        <v>0</v>
      </c>
      <c r="S57" s="25">
        <v>4</v>
      </c>
      <c r="T57" s="25">
        <v>4</v>
      </c>
      <c r="U57" s="25">
        <v>6</v>
      </c>
      <c r="V57" s="25">
        <v>6</v>
      </c>
      <c r="W57" s="50">
        <v>6</v>
      </c>
      <c r="X57" s="25">
        <v>1</v>
      </c>
      <c r="Y57" s="25">
        <f t="shared" si="0"/>
        <v>1.04</v>
      </c>
      <c r="Z57" s="25">
        <f t="shared" si="1"/>
        <v>1.0816000000000001</v>
      </c>
      <c r="AA57" s="25">
        <f t="shared" si="2"/>
        <v>1.1464960000000002</v>
      </c>
      <c r="AB57" s="25">
        <f t="shared" si="14"/>
        <v>1.2152857600000002</v>
      </c>
      <c r="AC57" s="50">
        <f t="shared" si="3"/>
        <v>1.2882029056000004</v>
      </c>
    </row>
    <row r="58" spans="1:29" ht="12.75">
      <c r="A58" s="1">
        <v>53</v>
      </c>
      <c r="B58" s="10" t="s">
        <v>377</v>
      </c>
      <c r="C58" s="200">
        <f>VLOOKUP(MID(B58,1,8)-0,'palkat 1.12.2018'!$B$9:$G$223,3,FALSE)</f>
        <v>2872.98</v>
      </c>
      <c r="D58" s="200">
        <f>VLOOKUP(MID(B58,1,8)-0,'palkat 1.12.2018'!$B$9:$G$223,5,FALSE)</f>
        <v>2845.8</v>
      </c>
      <c r="E58" s="11">
        <f>IF('muut muuttujat'!$G$3=1,C58,KÄYTTÖTAULU!$B$13)</f>
        <v>2872.98</v>
      </c>
      <c r="F58" s="11">
        <f>IF('muut muuttujat'!$G$3=1,D58,KÄYTTÖTAULU!$B$13)</f>
        <v>2845.8</v>
      </c>
      <c r="G58" s="11">
        <f>KÄYTTÖTAULU!$F$6</f>
        <v>0</v>
      </c>
      <c r="H58" s="11">
        <f>KÄYTTÖTAULU!$F$6</f>
        <v>0</v>
      </c>
      <c r="I58" s="11">
        <f t="shared" si="11"/>
        <v>0</v>
      </c>
      <c r="J58" s="11">
        <f t="shared" si="15"/>
        <v>0</v>
      </c>
      <c r="K58" s="1" t="e">
        <f>ROUND(I58/KÄYTTÖTAULU!$I$8,2)</f>
        <v>#DIV/0!</v>
      </c>
      <c r="L58" s="1" t="e">
        <f>ROUND(J58/KÄYTTÖTAULU!$I$8,2)</f>
        <v>#DIV/0!</v>
      </c>
      <c r="M58" s="1" t="e">
        <f t="shared" si="12"/>
        <v>#DIV/0!</v>
      </c>
      <c r="N58" s="1" t="e">
        <f t="shared" si="13"/>
        <v>#DIV/0!</v>
      </c>
      <c r="O58" s="11" t="e">
        <f>ROUND(ROUND(E58*0.83/KÄYTTÖTAULU!$I$8*12/38,2)*0.94,2)</f>
        <v>#DIV/0!</v>
      </c>
      <c r="P58" s="11" t="e">
        <f>ROUND(ROUND(F58*0.83/KÄYTTÖTAULU!$I$8*12/38,2)*0.94,2)</f>
        <v>#DIV/0!</v>
      </c>
      <c r="Q58" s="11"/>
      <c r="R58" s="24">
        <v>0</v>
      </c>
      <c r="S58" s="25">
        <v>4</v>
      </c>
      <c r="T58" s="25">
        <v>4</v>
      </c>
      <c r="U58" s="25">
        <v>6</v>
      </c>
      <c r="V58" s="25">
        <v>6</v>
      </c>
      <c r="W58" s="50">
        <v>6</v>
      </c>
      <c r="X58" s="25">
        <v>1</v>
      </c>
      <c r="Y58" s="25">
        <f t="shared" si="0"/>
        <v>1.04</v>
      </c>
      <c r="Z58" s="25">
        <f t="shared" si="1"/>
        <v>1.0816000000000001</v>
      </c>
      <c r="AA58" s="25">
        <f t="shared" si="2"/>
        <v>1.1464960000000002</v>
      </c>
      <c r="AB58" s="25">
        <f t="shared" si="14"/>
        <v>1.2152857600000002</v>
      </c>
      <c r="AC58" s="50">
        <f t="shared" si="3"/>
        <v>1.2882029056000004</v>
      </c>
    </row>
    <row r="59" spans="1:29" ht="12.75">
      <c r="A59" s="1">
        <v>54</v>
      </c>
      <c r="B59" s="10" t="s">
        <v>378</v>
      </c>
      <c r="C59" s="200">
        <f>VLOOKUP(MID(B59,1,8)-0,'palkat 1.12.2018'!$B$9:$G$223,3,FALSE)</f>
        <v>2660.14</v>
      </c>
      <c r="D59" s="200">
        <f>VLOOKUP(MID(B59,1,8)-0,'palkat 1.12.2018'!$B$9:$G$223,5,FALSE)</f>
        <v>2635</v>
      </c>
      <c r="E59" s="11">
        <f>IF('muut muuttujat'!$G$3=1,C59,KÄYTTÖTAULU!$B$13)</f>
        <v>2660.14</v>
      </c>
      <c r="F59" s="11">
        <f>IF('muut muuttujat'!$G$3=1,D59,KÄYTTÖTAULU!$B$13)</f>
        <v>2635</v>
      </c>
      <c r="G59" s="11">
        <f>KÄYTTÖTAULU!$F$6</f>
        <v>0</v>
      </c>
      <c r="H59" s="11">
        <f>KÄYTTÖTAULU!$F$6</f>
        <v>0</v>
      </c>
      <c r="I59" s="11">
        <f t="shared" si="11"/>
        <v>0</v>
      </c>
      <c r="J59" s="11">
        <f t="shared" si="15"/>
        <v>0</v>
      </c>
      <c r="K59" s="1" t="e">
        <f>ROUND(I59/KÄYTTÖTAULU!$I$8,2)</f>
        <v>#DIV/0!</v>
      </c>
      <c r="L59" s="1" t="e">
        <f>ROUND(J59/KÄYTTÖTAULU!$I$8,2)</f>
        <v>#DIV/0!</v>
      </c>
      <c r="M59" s="1" t="e">
        <f t="shared" si="12"/>
        <v>#DIV/0!</v>
      </c>
      <c r="N59" s="1" t="e">
        <f t="shared" si="13"/>
        <v>#DIV/0!</v>
      </c>
      <c r="O59" s="11" t="e">
        <f>ROUND(ROUND(E59*0.83/KÄYTTÖTAULU!$I$8*12/38,2)*0.94,2)</f>
        <v>#DIV/0!</v>
      </c>
      <c r="P59" s="11" t="e">
        <f>ROUND(ROUND(F59*0.83/KÄYTTÖTAULU!$I$8*12/38,2)*0.94,2)</f>
        <v>#DIV/0!</v>
      </c>
      <c r="Q59" s="11"/>
      <c r="R59" s="24">
        <v>0</v>
      </c>
      <c r="S59" s="25">
        <v>4</v>
      </c>
      <c r="T59" s="25">
        <v>4</v>
      </c>
      <c r="U59" s="25">
        <v>6</v>
      </c>
      <c r="V59" s="25">
        <v>6</v>
      </c>
      <c r="W59" s="50">
        <v>6</v>
      </c>
      <c r="X59" s="25">
        <v>1</v>
      </c>
      <c r="Y59" s="25">
        <f t="shared" si="0"/>
        <v>1.04</v>
      </c>
      <c r="Z59" s="25">
        <f t="shared" si="1"/>
        <v>1.0816000000000001</v>
      </c>
      <c r="AA59" s="25">
        <f t="shared" si="2"/>
        <v>1.1464960000000002</v>
      </c>
      <c r="AB59" s="25">
        <f t="shared" si="14"/>
        <v>1.2152857600000002</v>
      </c>
      <c r="AC59" s="50">
        <f t="shared" si="3"/>
        <v>1.2882029056000004</v>
      </c>
    </row>
    <row r="60" spans="1:29" ht="12.75">
      <c r="A60" s="1">
        <v>55</v>
      </c>
      <c r="B60" s="10" t="s">
        <v>379</v>
      </c>
      <c r="C60" s="200">
        <f>VLOOKUP(MID(B60,1,8)-0,'palkat 1.12.2018'!$B$9:$G$223,3,FALSE)</f>
        <v>2574.27</v>
      </c>
      <c r="D60" s="200">
        <f>VLOOKUP(MID(B60,1,8)-0,'palkat 1.12.2018'!$B$9:$G$223,5,FALSE)</f>
        <v>2549.92</v>
      </c>
      <c r="E60" s="11">
        <f>IF('muut muuttujat'!$G$3=1,C60,KÄYTTÖTAULU!$B$13)</f>
        <v>2574.27</v>
      </c>
      <c r="F60" s="11">
        <f>IF('muut muuttujat'!$G$3=1,D60,KÄYTTÖTAULU!$B$13)</f>
        <v>2549.92</v>
      </c>
      <c r="G60" s="11">
        <f>KÄYTTÖTAULU!$F$6</f>
        <v>0</v>
      </c>
      <c r="H60" s="11">
        <f>KÄYTTÖTAULU!$F$6</f>
        <v>0</v>
      </c>
      <c r="I60" s="11">
        <f t="shared" si="11"/>
        <v>0</v>
      </c>
      <c r="J60" s="11">
        <f t="shared" si="15"/>
        <v>0</v>
      </c>
      <c r="K60" s="1" t="e">
        <f>ROUND(I60/KÄYTTÖTAULU!$I$8,2)</f>
        <v>#DIV/0!</v>
      </c>
      <c r="L60" s="1" t="e">
        <f>ROUND(J60/KÄYTTÖTAULU!$I$8,2)</f>
        <v>#DIV/0!</v>
      </c>
      <c r="M60" s="1" t="e">
        <f t="shared" si="12"/>
        <v>#DIV/0!</v>
      </c>
      <c r="N60" s="1" t="e">
        <f t="shared" si="13"/>
        <v>#DIV/0!</v>
      </c>
      <c r="O60" s="11" t="e">
        <f>ROUND(ROUND(E60*0.83/KÄYTTÖTAULU!$I$8*12/38,2)*0.94,2)</f>
        <v>#DIV/0!</v>
      </c>
      <c r="P60" s="11" t="e">
        <f>ROUND(ROUND(F60*0.83/KÄYTTÖTAULU!$I$8*12/38,2)*0.94,2)</f>
        <v>#DIV/0!</v>
      </c>
      <c r="Q60" s="11"/>
      <c r="R60" s="24">
        <v>0</v>
      </c>
      <c r="S60" s="25">
        <v>4</v>
      </c>
      <c r="T60" s="25">
        <v>4</v>
      </c>
      <c r="U60" s="25">
        <v>6</v>
      </c>
      <c r="V60" s="25">
        <v>6</v>
      </c>
      <c r="W60" s="50">
        <v>6</v>
      </c>
      <c r="X60" s="25">
        <v>1</v>
      </c>
      <c r="Y60" s="25">
        <f t="shared" si="0"/>
        <v>1.04</v>
      </c>
      <c r="Z60" s="25">
        <f t="shared" si="1"/>
        <v>1.0816000000000001</v>
      </c>
      <c r="AA60" s="25">
        <f t="shared" si="2"/>
        <v>1.1464960000000002</v>
      </c>
      <c r="AB60" s="25">
        <f t="shared" si="14"/>
        <v>1.2152857600000002</v>
      </c>
      <c r="AC60" s="50">
        <f t="shared" si="3"/>
        <v>1.2882029056000004</v>
      </c>
    </row>
    <row r="61" spans="1:29" ht="12.75">
      <c r="A61" s="1">
        <v>56</v>
      </c>
      <c r="B61" s="10" t="s">
        <v>380</v>
      </c>
      <c r="C61" s="200">
        <f>VLOOKUP(MID(B61,1,8)-0,'palkat 1.12.2018'!$B$9:$G$223,3,FALSE)</f>
        <v>2100.2</v>
      </c>
      <c r="D61" s="200">
        <f>VLOOKUP(MID(B61,1,8)-0,'palkat 1.12.2018'!$B$9:$G$223,5,FALSE)</f>
        <v>2080.51</v>
      </c>
      <c r="E61" s="11">
        <f>IF('muut muuttujat'!$G$3=1,C61,KÄYTTÖTAULU!$B$13)</f>
        <v>2100.2</v>
      </c>
      <c r="F61" s="11">
        <f>IF('muut muuttujat'!$G$3=1,D61,KÄYTTÖTAULU!$B$13)</f>
        <v>2080.51</v>
      </c>
      <c r="G61" s="11">
        <f>KÄYTTÖTAULU!$F$6</f>
        <v>0</v>
      </c>
      <c r="H61" s="11">
        <f>KÄYTTÖTAULU!$F$6</f>
        <v>0</v>
      </c>
      <c r="I61" s="11">
        <f t="shared" si="11"/>
        <v>0</v>
      </c>
      <c r="J61" s="11">
        <f t="shared" si="15"/>
        <v>0</v>
      </c>
      <c r="K61" s="1" t="e">
        <f>ROUND(I61/KÄYTTÖTAULU!$I$8,2)</f>
        <v>#DIV/0!</v>
      </c>
      <c r="L61" s="1" t="e">
        <f>ROUND(J61/KÄYTTÖTAULU!$I$8,2)</f>
        <v>#DIV/0!</v>
      </c>
      <c r="M61" s="1" t="e">
        <f t="shared" si="12"/>
        <v>#DIV/0!</v>
      </c>
      <c r="N61" s="1" t="e">
        <f t="shared" si="13"/>
        <v>#DIV/0!</v>
      </c>
      <c r="O61" s="11" t="e">
        <f>ROUND(ROUND(E61*0.83/KÄYTTÖTAULU!$I$8*12/38,2)*0.94,2)</f>
        <v>#DIV/0!</v>
      </c>
      <c r="P61" s="11" t="e">
        <f>ROUND(ROUND(F61*0.83/KÄYTTÖTAULU!$I$8*12/38,2)*0.94,2)</f>
        <v>#DIV/0!</v>
      </c>
      <c r="Q61" s="11"/>
      <c r="R61" s="24">
        <v>0</v>
      </c>
      <c r="S61" s="25">
        <v>4</v>
      </c>
      <c r="T61" s="25">
        <v>4</v>
      </c>
      <c r="U61" s="25">
        <v>6</v>
      </c>
      <c r="V61" s="25">
        <v>6</v>
      </c>
      <c r="W61" s="50">
        <v>6</v>
      </c>
      <c r="X61" s="25">
        <v>1</v>
      </c>
      <c r="Y61" s="25">
        <f t="shared" si="0"/>
        <v>1.04</v>
      </c>
      <c r="Z61" s="25">
        <f t="shared" si="1"/>
        <v>1.0816000000000001</v>
      </c>
      <c r="AA61" s="25">
        <f t="shared" si="2"/>
        <v>1.1464960000000002</v>
      </c>
      <c r="AB61" s="25">
        <f t="shared" si="14"/>
        <v>1.2152857600000002</v>
      </c>
      <c r="AC61" s="50">
        <f t="shared" si="3"/>
        <v>1.2882029056000004</v>
      </c>
    </row>
    <row r="62" spans="1:29" ht="12.75">
      <c r="A62" s="1">
        <v>57</v>
      </c>
      <c r="B62" s="10" t="s">
        <v>381</v>
      </c>
      <c r="C62" s="200">
        <f>VLOOKUP(MID(B62,1,8)-0,'palkat 1.12.2018'!$B$9:$G$223,3,FALSE)</f>
        <v>2002.93</v>
      </c>
      <c r="D62" s="200">
        <f>VLOOKUP(MID(B62,1,8)-0,'palkat 1.12.2018'!$B$9:$G$223,5,FALSE)</f>
        <v>1984.92</v>
      </c>
      <c r="E62" s="11">
        <f>IF('muut muuttujat'!$G$3=1,C62,KÄYTTÖTAULU!$B$13)</f>
        <v>2002.93</v>
      </c>
      <c r="F62" s="11">
        <f>IF('muut muuttujat'!$G$3=1,D62,KÄYTTÖTAULU!$B$13)</f>
        <v>1984.92</v>
      </c>
      <c r="G62" s="11">
        <f>KÄYTTÖTAULU!$F$6</f>
        <v>0</v>
      </c>
      <c r="H62" s="11">
        <f>KÄYTTÖTAULU!$F$6</f>
        <v>0</v>
      </c>
      <c r="I62" s="11">
        <f t="shared" si="11"/>
        <v>0</v>
      </c>
      <c r="J62" s="11">
        <f t="shared" si="15"/>
        <v>0</v>
      </c>
      <c r="K62" s="1" t="e">
        <f>ROUND(I62/KÄYTTÖTAULU!$I$8,2)</f>
        <v>#DIV/0!</v>
      </c>
      <c r="L62" s="1" t="e">
        <f>ROUND(J62/KÄYTTÖTAULU!$I$8,2)</f>
        <v>#DIV/0!</v>
      </c>
      <c r="M62" s="1" t="e">
        <f t="shared" si="12"/>
        <v>#DIV/0!</v>
      </c>
      <c r="N62" s="1" t="e">
        <f t="shared" si="13"/>
        <v>#DIV/0!</v>
      </c>
      <c r="O62" s="11" t="e">
        <f>ROUND(ROUND(E62*0.83/KÄYTTÖTAULU!$I$8*12/38,2)*0.94,2)</f>
        <v>#DIV/0!</v>
      </c>
      <c r="P62" s="11" t="e">
        <f>ROUND(ROUND(F62*0.83/KÄYTTÖTAULU!$I$8*12/38,2)*0.94,2)</f>
        <v>#DIV/0!</v>
      </c>
      <c r="Q62" s="11"/>
      <c r="R62" s="24">
        <v>0</v>
      </c>
      <c r="S62" s="25">
        <v>4</v>
      </c>
      <c r="T62" s="25">
        <v>4</v>
      </c>
      <c r="U62" s="25">
        <v>6</v>
      </c>
      <c r="V62" s="25">
        <v>6</v>
      </c>
      <c r="W62" s="50">
        <v>6</v>
      </c>
      <c r="X62" s="25">
        <v>1</v>
      </c>
      <c r="Y62" s="25">
        <f t="shared" si="0"/>
        <v>1.04</v>
      </c>
      <c r="Z62" s="25">
        <f t="shared" si="1"/>
        <v>1.0816000000000001</v>
      </c>
      <c r="AA62" s="25">
        <f t="shared" si="2"/>
        <v>1.1464960000000002</v>
      </c>
      <c r="AB62" s="25">
        <f t="shared" si="14"/>
        <v>1.2152857600000002</v>
      </c>
      <c r="AC62" s="50">
        <f t="shared" si="3"/>
        <v>1.2882029056000004</v>
      </c>
    </row>
    <row r="63" spans="1:29" ht="12.75">
      <c r="A63" s="1">
        <v>58</v>
      </c>
      <c r="B63" s="10" t="s">
        <v>382</v>
      </c>
      <c r="C63" s="200">
        <f>VLOOKUP(MID(B63,1,8)-0,'palkat 1.12.2018'!$B$9:$G$223,3,FALSE)</f>
        <v>2307.83</v>
      </c>
      <c r="D63" s="200">
        <f>VLOOKUP(MID(B63,1,8)-0,'palkat 1.12.2018'!$B$9:$G$223,5,FALSE)</f>
        <v>2286</v>
      </c>
      <c r="E63" s="11">
        <f>IF('muut muuttujat'!$G$3=1,C63,KÄYTTÖTAULU!$B$13)</f>
        <v>2307.83</v>
      </c>
      <c r="F63" s="11">
        <f>IF('muut muuttujat'!$G$3=1,D63,KÄYTTÖTAULU!$B$13)</f>
        <v>2286</v>
      </c>
      <c r="G63" s="11">
        <f>KÄYTTÖTAULU!$F$6</f>
        <v>0</v>
      </c>
      <c r="H63" s="11">
        <f>KÄYTTÖTAULU!$F$6</f>
        <v>0</v>
      </c>
      <c r="I63" s="11">
        <f t="shared" si="11"/>
        <v>0</v>
      </c>
      <c r="J63" s="11">
        <f t="shared" si="15"/>
        <v>0</v>
      </c>
      <c r="K63" s="1" t="e">
        <f>ROUND(I63/KÄYTTÖTAULU!$I$8,2)</f>
        <v>#DIV/0!</v>
      </c>
      <c r="L63" s="1" t="e">
        <f>ROUND(J63/KÄYTTÖTAULU!$I$8,2)</f>
        <v>#DIV/0!</v>
      </c>
      <c r="M63" s="1" t="e">
        <f t="shared" si="12"/>
        <v>#DIV/0!</v>
      </c>
      <c r="N63" s="1" t="e">
        <f t="shared" si="13"/>
        <v>#DIV/0!</v>
      </c>
      <c r="O63" s="11" t="e">
        <f>ROUND(ROUND(E63*0.83/KÄYTTÖTAULU!$I$8*12/38,2)*0.94,2)</f>
        <v>#DIV/0!</v>
      </c>
      <c r="P63" s="11" t="e">
        <f>ROUND(ROUND(F63*0.83/KÄYTTÖTAULU!$I$8*12/38,2)*0.94,2)</f>
        <v>#DIV/0!</v>
      </c>
      <c r="Q63" s="11"/>
      <c r="R63" s="24">
        <v>0</v>
      </c>
      <c r="S63" s="25">
        <v>6</v>
      </c>
      <c r="T63" s="25">
        <v>3</v>
      </c>
      <c r="U63" s="25">
        <v>9</v>
      </c>
      <c r="V63" s="25">
        <v>6</v>
      </c>
      <c r="W63" s="50">
        <v>6</v>
      </c>
      <c r="X63" s="25">
        <v>1</v>
      </c>
      <c r="Y63" s="25">
        <f t="shared" si="0"/>
        <v>1.06</v>
      </c>
      <c r="Z63" s="25">
        <f t="shared" si="1"/>
        <v>1.0918</v>
      </c>
      <c r="AA63" s="25">
        <f t="shared" si="2"/>
        <v>1.1900620000000002</v>
      </c>
      <c r="AB63" s="25">
        <f t="shared" si="14"/>
        <v>1.2614657200000003</v>
      </c>
      <c r="AC63" s="50">
        <f t="shared" si="3"/>
        <v>1.3371536632000005</v>
      </c>
    </row>
    <row r="64" spans="1:29" ht="12.75">
      <c r="A64" s="1">
        <v>59</v>
      </c>
      <c r="B64" s="10" t="s">
        <v>383</v>
      </c>
      <c r="C64" s="200">
        <f>VLOOKUP(MID(B64,1,8)-0,'palkat 1.12.2018'!$B$9:$G$223,3,FALSE)</f>
        <v>2307.83</v>
      </c>
      <c r="D64" s="200">
        <f>VLOOKUP(MID(B64,1,8)-0,'palkat 1.12.2018'!$B$9:$G$223,5,FALSE)</f>
        <v>2286</v>
      </c>
      <c r="E64" s="11">
        <f>IF('muut muuttujat'!$G$3=1,C64,KÄYTTÖTAULU!$B$13)</f>
        <v>2307.83</v>
      </c>
      <c r="F64" s="11">
        <f>IF('muut muuttujat'!$G$3=1,D64,KÄYTTÖTAULU!$B$13)</f>
        <v>2286</v>
      </c>
      <c r="G64" s="11">
        <f>KÄYTTÖTAULU!$F$6</f>
        <v>0</v>
      </c>
      <c r="H64" s="11">
        <f>KÄYTTÖTAULU!$F$6</f>
        <v>0</v>
      </c>
      <c r="I64" s="11">
        <f t="shared" si="11"/>
        <v>0</v>
      </c>
      <c r="J64" s="11">
        <f t="shared" si="15"/>
        <v>0</v>
      </c>
      <c r="K64" s="1" t="e">
        <f>ROUND(I64/KÄYTTÖTAULU!$I$8,2)</f>
        <v>#DIV/0!</v>
      </c>
      <c r="L64" s="1" t="e">
        <f>ROUND(J64/KÄYTTÖTAULU!$I$8,2)</f>
        <v>#DIV/0!</v>
      </c>
      <c r="M64" s="1" t="e">
        <f t="shared" si="12"/>
        <v>#DIV/0!</v>
      </c>
      <c r="N64" s="1" t="e">
        <f t="shared" si="13"/>
        <v>#DIV/0!</v>
      </c>
      <c r="O64" s="11" t="e">
        <f>ROUND(ROUND(E64*0.83/KÄYTTÖTAULU!$I$8*12/38,2)*0.94,2)</f>
        <v>#DIV/0!</v>
      </c>
      <c r="P64" s="11" t="e">
        <f>ROUND(ROUND(F64*0.83/KÄYTTÖTAULU!$I$8*12/38,2)*0.94,2)</f>
        <v>#DIV/0!</v>
      </c>
      <c r="Q64" s="11"/>
      <c r="R64" s="24">
        <v>0</v>
      </c>
      <c r="S64" s="25">
        <v>6</v>
      </c>
      <c r="T64" s="25">
        <v>3</v>
      </c>
      <c r="U64" s="25">
        <v>9</v>
      </c>
      <c r="V64" s="25">
        <v>6</v>
      </c>
      <c r="W64" s="50">
        <v>6</v>
      </c>
      <c r="X64" s="25">
        <v>1</v>
      </c>
      <c r="Y64" s="25">
        <f t="shared" si="0"/>
        <v>1.06</v>
      </c>
      <c r="Z64" s="25">
        <f t="shared" si="1"/>
        <v>1.0918</v>
      </c>
      <c r="AA64" s="25">
        <f t="shared" si="2"/>
        <v>1.1900620000000002</v>
      </c>
      <c r="AB64" s="25">
        <f t="shared" si="14"/>
        <v>1.2614657200000003</v>
      </c>
      <c r="AC64" s="50">
        <f t="shared" si="3"/>
        <v>1.3371536632000005</v>
      </c>
    </row>
    <row r="65" spans="1:29" ht="12.75">
      <c r="A65" s="1">
        <v>60</v>
      </c>
      <c r="B65" s="10" t="s">
        <v>384</v>
      </c>
      <c r="C65" s="200">
        <f>VLOOKUP(MID(B65,1,8)-0,'palkat 1.12.2018'!$B$9:$G$223,3,FALSE)</f>
        <v>2259.82</v>
      </c>
      <c r="D65" s="200">
        <f>VLOOKUP(MID(B65,1,8)-0,'palkat 1.12.2018'!$B$9:$G$223,5,FALSE)</f>
        <v>2238.41</v>
      </c>
      <c r="E65" s="11">
        <f>IF('muut muuttujat'!$G$3=1,C65,KÄYTTÖTAULU!$B$13)</f>
        <v>2259.82</v>
      </c>
      <c r="F65" s="11">
        <f>IF('muut muuttujat'!$G$3=1,D65,KÄYTTÖTAULU!$B$13)</f>
        <v>2238.41</v>
      </c>
      <c r="G65" s="11">
        <f>KÄYTTÖTAULU!$F$6</f>
        <v>0</v>
      </c>
      <c r="H65" s="11">
        <f>KÄYTTÖTAULU!$F$6</f>
        <v>0</v>
      </c>
      <c r="I65" s="11">
        <f t="shared" si="11"/>
        <v>0</v>
      </c>
      <c r="J65" s="11">
        <f t="shared" si="15"/>
        <v>0</v>
      </c>
      <c r="K65" s="1" t="e">
        <f>ROUND(I65/KÄYTTÖTAULU!$I$8,2)</f>
        <v>#DIV/0!</v>
      </c>
      <c r="L65" s="1" t="e">
        <f>ROUND(J65/KÄYTTÖTAULU!$I$8,2)</f>
        <v>#DIV/0!</v>
      </c>
      <c r="M65" s="1" t="e">
        <f t="shared" si="12"/>
        <v>#DIV/0!</v>
      </c>
      <c r="N65" s="1" t="e">
        <f t="shared" si="13"/>
        <v>#DIV/0!</v>
      </c>
      <c r="O65" s="11" t="e">
        <f>ROUND(ROUND(E65*0.83/KÄYTTÖTAULU!$I$8*12/38,2)*0.94,2)</f>
        <v>#DIV/0!</v>
      </c>
      <c r="P65" s="11" t="e">
        <f>ROUND(ROUND(F65*0.83/KÄYTTÖTAULU!$I$8*12/38,2)*0.94,2)</f>
        <v>#DIV/0!</v>
      </c>
      <c r="Q65" s="11"/>
      <c r="R65" s="24">
        <v>0</v>
      </c>
      <c r="S65" s="25">
        <v>6</v>
      </c>
      <c r="T65" s="25">
        <v>3</v>
      </c>
      <c r="U65" s="25">
        <v>9</v>
      </c>
      <c r="V65" s="25">
        <v>6</v>
      </c>
      <c r="W65" s="50">
        <v>6</v>
      </c>
      <c r="X65" s="25">
        <v>1</v>
      </c>
      <c r="Y65" s="25">
        <f t="shared" si="0"/>
        <v>1.06</v>
      </c>
      <c r="Z65" s="25">
        <f t="shared" si="1"/>
        <v>1.0918</v>
      </c>
      <c r="AA65" s="25">
        <f t="shared" si="2"/>
        <v>1.1900620000000002</v>
      </c>
      <c r="AB65" s="25">
        <f t="shared" si="14"/>
        <v>1.2614657200000003</v>
      </c>
      <c r="AC65" s="50">
        <f t="shared" si="3"/>
        <v>1.3371536632000005</v>
      </c>
    </row>
    <row r="66" spans="1:29" ht="12.75">
      <c r="A66" s="1">
        <v>61</v>
      </c>
      <c r="B66" s="10" t="s">
        <v>385</v>
      </c>
      <c r="C66" s="200">
        <f>VLOOKUP(MID(B66,1,8)-0,'palkat 1.12.2018'!$B$9:$G$223,3,FALSE)</f>
        <v>1942.38</v>
      </c>
      <c r="D66" s="200">
        <f>VLOOKUP(MID(B66,1,8)-0,'palkat 1.12.2018'!$B$9:$G$223,5,FALSE)</f>
        <v>1926.1</v>
      </c>
      <c r="E66" s="11">
        <f>IF('muut muuttujat'!$G$3=1,C66,KÄYTTÖTAULU!$B$13)</f>
        <v>1942.38</v>
      </c>
      <c r="F66" s="11">
        <f>IF('muut muuttujat'!$G$3=1,D66,KÄYTTÖTAULU!$B$13)</f>
        <v>1926.1</v>
      </c>
      <c r="G66" s="11">
        <f>KÄYTTÖTAULU!$F$6</f>
        <v>0</v>
      </c>
      <c r="H66" s="11">
        <f>KÄYTTÖTAULU!$F$6</f>
        <v>0</v>
      </c>
      <c r="I66" s="11">
        <f t="shared" si="11"/>
        <v>0</v>
      </c>
      <c r="J66" s="11">
        <f t="shared" si="15"/>
        <v>0</v>
      </c>
      <c r="K66" s="1" t="e">
        <f>ROUND(I66/KÄYTTÖTAULU!$I$8,2)</f>
        <v>#DIV/0!</v>
      </c>
      <c r="L66" s="1" t="e">
        <f>ROUND(J66/KÄYTTÖTAULU!$I$8,2)</f>
        <v>#DIV/0!</v>
      </c>
      <c r="M66" s="1" t="e">
        <f t="shared" si="12"/>
        <v>#DIV/0!</v>
      </c>
      <c r="N66" s="1" t="e">
        <f t="shared" si="13"/>
        <v>#DIV/0!</v>
      </c>
      <c r="O66" s="11" t="e">
        <f>ROUND(ROUND(E66*0.83/KÄYTTÖTAULU!$I$8*12/38,2)*0.94,2)</f>
        <v>#DIV/0!</v>
      </c>
      <c r="P66" s="11" t="e">
        <f>ROUND(ROUND(F66*0.83/KÄYTTÖTAULU!$I$8*12/38,2)*0.94,2)</f>
        <v>#DIV/0!</v>
      </c>
      <c r="Q66" s="11"/>
      <c r="R66" s="24">
        <v>0</v>
      </c>
      <c r="S66" s="25">
        <v>6</v>
      </c>
      <c r="T66" s="25">
        <v>3</v>
      </c>
      <c r="U66" s="25">
        <v>9</v>
      </c>
      <c r="V66" s="25">
        <v>6</v>
      </c>
      <c r="W66" s="50">
        <v>6</v>
      </c>
      <c r="X66" s="25">
        <v>1</v>
      </c>
      <c r="Y66" s="25">
        <f t="shared" si="0"/>
        <v>1.06</v>
      </c>
      <c r="Z66" s="25">
        <f t="shared" si="1"/>
        <v>1.0918</v>
      </c>
      <c r="AA66" s="25">
        <f t="shared" si="2"/>
        <v>1.1900620000000002</v>
      </c>
      <c r="AB66" s="25">
        <f t="shared" si="14"/>
        <v>1.2614657200000003</v>
      </c>
      <c r="AC66" s="50">
        <f t="shared" si="3"/>
        <v>1.3371536632000005</v>
      </c>
    </row>
    <row r="67" spans="1:29" ht="12.75">
      <c r="A67" s="1">
        <v>62</v>
      </c>
      <c r="B67" s="10" t="s">
        <v>386</v>
      </c>
      <c r="C67" s="200">
        <f>VLOOKUP(MID(B67,1,8)-0,'palkat 1.12.2018'!$B$9:$G$223,3,FALSE)</f>
        <v>3046.51</v>
      </c>
      <c r="D67" s="200">
        <f>VLOOKUP(MID(B67,1,8)-0,'palkat 1.12.2018'!$B$9:$G$223,5,FALSE)</f>
        <v>3017.74</v>
      </c>
      <c r="E67" s="11">
        <f>IF('muut muuttujat'!$G$3=1,C67,KÄYTTÖTAULU!$B$13)</f>
        <v>3046.51</v>
      </c>
      <c r="F67" s="11">
        <f>IF('muut muuttujat'!$G$3=1,D67,KÄYTTÖTAULU!$B$13)</f>
        <v>3017.74</v>
      </c>
      <c r="G67" s="11">
        <f>KÄYTTÖTAULU!$F$6</f>
        <v>0</v>
      </c>
      <c r="H67" s="11">
        <f>KÄYTTÖTAULU!$F$6</f>
        <v>0</v>
      </c>
      <c r="I67" s="11">
        <f t="shared" si="11"/>
        <v>0</v>
      </c>
      <c r="J67" s="11">
        <f t="shared" si="15"/>
        <v>0</v>
      </c>
      <c r="K67" s="1" t="e">
        <f>ROUND(I67/KÄYTTÖTAULU!$I$8,2)</f>
        <v>#DIV/0!</v>
      </c>
      <c r="L67" s="1" t="e">
        <f>ROUND(J67/KÄYTTÖTAULU!$I$8,2)</f>
        <v>#DIV/0!</v>
      </c>
      <c r="M67" s="1" t="e">
        <f t="shared" si="12"/>
        <v>#DIV/0!</v>
      </c>
      <c r="N67" s="1" t="e">
        <f t="shared" si="13"/>
        <v>#DIV/0!</v>
      </c>
      <c r="O67" s="11"/>
      <c r="P67" s="11"/>
      <c r="Q67" s="11"/>
      <c r="R67" s="24">
        <v>0</v>
      </c>
      <c r="S67" s="25">
        <v>6</v>
      </c>
      <c r="T67" s="25">
        <v>2</v>
      </c>
      <c r="U67" s="25">
        <v>10</v>
      </c>
      <c r="V67" s="25">
        <v>4</v>
      </c>
      <c r="W67" s="50">
        <v>6</v>
      </c>
      <c r="X67" s="25">
        <v>1</v>
      </c>
      <c r="Y67" s="25">
        <f t="shared" si="0"/>
        <v>1.06</v>
      </c>
      <c r="Z67" s="25">
        <f t="shared" si="1"/>
        <v>1.0812000000000002</v>
      </c>
      <c r="AA67" s="25">
        <f t="shared" si="2"/>
        <v>1.1893200000000004</v>
      </c>
      <c r="AB67" s="25">
        <f t="shared" si="14"/>
        <v>1.2368928000000003</v>
      </c>
      <c r="AC67" s="50">
        <f t="shared" si="3"/>
        <v>1.3111063680000004</v>
      </c>
    </row>
    <row r="68" spans="1:29" ht="12.75">
      <c r="A68" s="1">
        <v>63</v>
      </c>
      <c r="B68" s="10" t="s">
        <v>387</v>
      </c>
      <c r="C68" s="200">
        <f>VLOOKUP(MID(B68,1,8)-0,'palkat 1.12.2018'!$B$9:$G$223,3,FALSE)</f>
        <v>2907.51</v>
      </c>
      <c r="D68" s="200">
        <f>VLOOKUP(MID(B68,1,8)-0,'palkat 1.12.2018'!$B$9:$G$223,5,FALSE)</f>
        <v>2879.97</v>
      </c>
      <c r="E68" s="11">
        <f>IF('muut muuttujat'!$G$3=1,C68,KÄYTTÖTAULU!$B$13)</f>
        <v>2907.51</v>
      </c>
      <c r="F68" s="11">
        <f>IF('muut muuttujat'!$G$3=1,D68,KÄYTTÖTAULU!$B$13)</f>
        <v>2879.97</v>
      </c>
      <c r="G68" s="11">
        <f>KÄYTTÖTAULU!$F$6</f>
        <v>0</v>
      </c>
      <c r="H68" s="11">
        <f>KÄYTTÖTAULU!$F$6</f>
        <v>0</v>
      </c>
      <c r="I68" s="11">
        <f t="shared" si="11"/>
        <v>0</v>
      </c>
      <c r="J68" s="11">
        <f t="shared" si="15"/>
        <v>0</v>
      </c>
      <c r="K68" s="1" t="e">
        <f>ROUND(I68/KÄYTTÖTAULU!$I$8,2)</f>
        <v>#DIV/0!</v>
      </c>
      <c r="L68" s="1" t="e">
        <f>ROUND(J68/KÄYTTÖTAULU!$I$8,2)</f>
        <v>#DIV/0!</v>
      </c>
      <c r="M68" s="1" t="e">
        <f t="shared" si="12"/>
        <v>#DIV/0!</v>
      </c>
      <c r="N68" s="1" t="e">
        <f t="shared" si="13"/>
        <v>#DIV/0!</v>
      </c>
      <c r="O68" s="11"/>
      <c r="P68" s="11"/>
      <c r="Q68" s="11"/>
      <c r="R68" s="24">
        <v>0</v>
      </c>
      <c r="S68" s="25">
        <v>6</v>
      </c>
      <c r="T68" s="25">
        <v>2</v>
      </c>
      <c r="U68" s="25">
        <v>10</v>
      </c>
      <c r="V68" s="25">
        <v>4</v>
      </c>
      <c r="W68" s="50">
        <v>6</v>
      </c>
      <c r="X68" s="25">
        <v>1</v>
      </c>
      <c r="Y68" s="25">
        <f t="shared" si="0"/>
        <v>1.06</v>
      </c>
      <c r="Z68" s="25">
        <f t="shared" si="1"/>
        <v>1.0812000000000002</v>
      </c>
      <c r="AA68" s="25">
        <f t="shared" si="2"/>
        <v>1.1893200000000004</v>
      </c>
      <c r="AB68" s="25">
        <f t="shared" si="14"/>
        <v>1.2368928000000003</v>
      </c>
      <c r="AC68" s="50">
        <f t="shared" si="3"/>
        <v>1.3111063680000004</v>
      </c>
    </row>
    <row r="69" spans="1:29" ht="12.75">
      <c r="A69" s="1">
        <v>64</v>
      </c>
      <c r="B69" s="10" t="s">
        <v>388</v>
      </c>
      <c r="C69" s="200">
        <f>VLOOKUP(MID(B69,1,8)-0,'palkat 1.12.2018'!$B$9:$G$223,3,FALSE)</f>
        <v>2453.8</v>
      </c>
      <c r="D69" s="200">
        <f>VLOOKUP(MID(B69,1,8)-0,'palkat 1.12.2018'!$B$9:$G$223,5,FALSE)</f>
        <v>2430.62</v>
      </c>
      <c r="E69" s="11">
        <f>IF('muut muuttujat'!$G$3=1,C69,KÄYTTÖTAULU!$B$13)</f>
        <v>2453.8</v>
      </c>
      <c r="F69" s="11">
        <f>IF('muut muuttujat'!$G$3=1,D69,KÄYTTÖTAULU!$B$13)</f>
        <v>2430.62</v>
      </c>
      <c r="G69" s="11">
        <f>KÄYTTÖTAULU!$F$6</f>
        <v>0</v>
      </c>
      <c r="H69" s="11">
        <f>KÄYTTÖTAULU!$F$6</f>
        <v>0</v>
      </c>
      <c r="I69" s="11">
        <f t="shared" si="11"/>
        <v>0</v>
      </c>
      <c r="J69" s="11">
        <f t="shared" si="15"/>
        <v>0</v>
      </c>
      <c r="K69" s="1" t="e">
        <f>ROUND(I69/KÄYTTÖTAULU!$I$8,2)</f>
        <v>#DIV/0!</v>
      </c>
      <c r="L69" s="1" t="e">
        <f>ROUND(J69/KÄYTTÖTAULU!$I$8,2)</f>
        <v>#DIV/0!</v>
      </c>
      <c r="M69" s="1" t="e">
        <f t="shared" si="12"/>
        <v>#DIV/0!</v>
      </c>
      <c r="N69" s="1" t="e">
        <f t="shared" si="13"/>
        <v>#DIV/0!</v>
      </c>
      <c r="O69" s="11"/>
      <c r="P69" s="11"/>
      <c r="Q69" s="11"/>
      <c r="R69" s="24">
        <v>0</v>
      </c>
      <c r="S69" s="25">
        <v>6</v>
      </c>
      <c r="T69" s="25">
        <v>2</v>
      </c>
      <c r="U69" s="25">
        <v>10</v>
      </c>
      <c r="V69" s="25">
        <v>4</v>
      </c>
      <c r="W69" s="50">
        <v>6</v>
      </c>
      <c r="X69" s="25">
        <v>1</v>
      </c>
      <c r="Y69" s="25">
        <f t="shared" si="0"/>
        <v>1.06</v>
      </c>
      <c r="Z69" s="25">
        <f t="shared" si="1"/>
        <v>1.0812000000000002</v>
      </c>
      <c r="AA69" s="25">
        <f t="shared" si="2"/>
        <v>1.1893200000000004</v>
      </c>
      <c r="AB69" s="25">
        <f t="shared" si="14"/>
        <v>1.2368928000000003</v>
      </c>
      <c r="AC69" s="50">
        <f t="shared" si="3"/>
        <v>1.3111063680000004</v>
      </c>
    </row>
    <row r="70" spans="1:29" ht="12.75">
      <c r="A70" s="1">
        <v>65</v>
      </c>
      <c r="B70" s="10" t="s">
        <v>389</v>
      </c>
      <c r="C70" s="200">
        <f>VLOOKUP(MID(B70,1,8)-0,'palkat 1.12.2018'!$B$9:$G$223,3,FALSE)</f>
        <v>2172.72</v>
      </c>
      <c r="D70" s="200">
        <f>VLOOKUP(MID(B70,1,8)-0,'palkat 1.12.2018'!$B$9:$G$223,5,FALSE)</f>
        <v>2152.2</v>
      </c>
      <c r="E70" s="11">
        <f>IF('muut muuttujat'!$G$3=1,C70,KÄYTTÖTAULU!$B$13)</f>
        <v>2172.72</v>
      </c>
      <c r="F70" s="11">
        <f>IF('muut muuttujat'!$G$3=1,D70,KÄYTTÖTAULU!$B$13)</f>
        <v>2152.2</v>
      </c>
      <c r="G70" s="11">
        <f>KÄYTTÖTAULU!$F$6</f>
        <v>0</v>
      </c>
      <c r="H70" s="11">
        <f>KÄYTTÖTAULU!$F$6</f>
        <v>0</v>
      </c>
      <c r="I70" s="11">
        <f t="shared" si="11"/>
        <v>0</v>
      </c>
      <c r="J70" s="11">
        <f t="shared" si="15"/>
        <v>0</v>
      </c>
      <c r="K70" s="1" t="e">
        <f>ROUND(I70/KÄYTTÖTAULU!$I$8,2)</f>
        <v>#DIV/0!</v>
      </c>
      <c r="L70" s="1" t="e">
        <f>ROUND(J70/KÄYTTÖTAULU!$I$8,2)</f>
        <v>#DIV/0!</v>
      </c>
      <c r="M70" s="1" t="e">
        <f t="shared" si="12"/>
        <v>#DIV/0!</v>
      </c>
      <c r="N70" s="1" t="e">
        <f t="shared" si="13"/>
        <v>#DIV/0!</v>
      </c>
      <c r="O70" s="11"/>
      <c r="P70" s="11"/>
      <c r="Q70" s="11"/>
      <c r="R70" s="24">
        <v>0</v>
      </c>
      <c r="S70" s="25">
        <v>6</v>
      </c>
      <c r="T70" s="25">
        <v>2</v>
      </c>
      <c r="U70" s="25">
        <v>10</v>
      </c>
      <c r="V70" s="25">
        <v>4</v>
      </c>
      <c r="W70" s="50">
        <v>6</v>
      </c>
      <c r="X70" s="25">
        <v>1</v>
      </c>
      <c r="Y70" s="25">
        <f t="shared" si="0"/>
        <v>1.06</v>
      </c>
      <c r="Z70" s="25">
        <f t="shared" si="1"/>
        <v>1.0812000000000002</v>
      </c>
      <c r="AA70" s="25">
        <f t="shared" si="2"/>
        <v>1.1893200000000004</v>
      </c>
      <c r="AB70" s="25">
        <f t="shared" si="14"/>
        <v>1.2368928000000003</v>
      </c>
      <c r="AC70" s="50">
        <f t="shared" si="3"/>
        <v>1.3111063680000004</v>
      </c>
    </row>
    <row r="71" spans="1:29" ht="12.75">
      <c r="A71" s="1">
        <v>66</v>
      </c>
      <c r="B71" s="10" t="s">
        <v>390</v>
      </c>
      <c r="C71" s="200">
        <f>VLOOKUP(MID(B71,1,8)-0,'palkat 1.12.2018'!$B$9:$G$223,3,FALSE)</f>
        <v>3046.51</v>
      </c>
      <c r="D71" s="200">
        <f>VLOOKUP(MID(B71,1,8)-0,'palkat 1.12.2018'!$B$9:$G$223,5,FALSE)</f>
        <v>3017.74</v>
      </c>
      <c r="E71" s="11">
        <f>IF('muut muuttujat'!$G$3=1,C71,KÄYTTÖTAULU!$B$13)</f>
        <v>3046.51</v>
      </c>
      <c r="F71" s="11">
        <f>IF('muut muuttujat'!$G$3=1,D71,KÄYTTÖTAULU!$B$13)</f>
        <v>3017.74</v>
      </c>
      <c r="G71" s="11">
        <f>KÄYTTÖTAULU!$F$6</f>
        <v>0</v>
      </c>
      <c r="H71" s="11">
        <f>KÄYTTÖTAULU!$F$6</f>
        <v>0</v>
      </c>
      <c r="I71" s="11">
        <f t="shared" si="11"/>
        <v>0</v>
      </c>
      <c r="J71" s="11">
        <f t="shared" si="15"/>
        <v>0</v>
      </c>
      <c r="K71" s="1" t="e">
        <f>ROUND(I71/KÄYTTÖTAULU!$I$8,2)</f>
        <v>#DIV/0!</v>
      </c>
      <c r="L71" s="1" t="e">
        <f>ROUND(J71/KÄYTTÖTAULU!$I$8,2)</f>
        <v>#DIV/0!</v>
      </c>
      <c r="M71" s="1" t="e">
        <f t="shared" si="12"/>
        <v>#DIV/0!</v>
      </c>
      <c r="N71" s="1" t="e">
        <f t="shared" si="13"/>
        <v>#DIV/0!</v>
      </c>
      <c r="O71" s="11" t="e">
        <f>ROUND(ROUND(E71*0.83/KÄYTTÖTAULU!$I$8*12/38,2)*0.96,2)</f>
        <v>#DIV/0!</v>
      </c>
      <c r="P71" s="11" t="e">
        <f>ROUND(ROUND(F71*0.83/KÄYTTÖTAULU!$I$8*12/38,2)*0.96,2)</f>
        <v>#DIV/0!</v>
      </c>
      <c r="Q71" s="11"/>
      <c r="R71" s="24">
        <v>0</v>
      </c>
      <c r="S71" s="25">
        <v>6</v>
      </c>
      <c r="T71" s="25">
        <v>2</v>
      </c>
      <c r="U71" s="25">
        <v>10</v>
      </c>
      <c r="V71" s="25">
        <v>4</v>
      </c>
      <c r="W71" s="50">
        <v>6</v>
      </c>
      <c r="X71" s="25">
        <v>1</v>
      </c>
      <c r="Y71" s="25">
        <f t="shared" si="0"/>
        <v>1.06</v>
      </c>
      <c r="Z71" s="25">
        <f t="shared" si="1"/>
        <v>1.0812000000000002</v>
      </c>
      <c r="AA71" s="25">
        <f t="shared" si="2"/>
        <v>1.1893200000000004</v>
      </c>
      <c r="AB71" s="25">
        <f t="shared" si="14"/>
        <v>1.2368928000000003</v>
      </c>
      <c r="AC71" s="50">
        <f t="shared" si="3"/>
        <v>1.3111063680000004</v>
      </c>
    </row>
    <row r="72" spans="1:29" ht="12.75">
      <c r="A72" s="1">
        <v>67</v>
      </c>
      <c r="B72" s="10" t="s">
        <v>391</v>
      </c>
      <c r="C72" s="200">
        <f>VLOOKUP(MID(B72,1,8)-0,'palkat 1.12.2018'!$B$9:$G$223,3,FALSE)</f>
        <v>2640.01</v>
      </c>
      <c r="D72" s="200">
        <f>VLOOKUP(MID(B72,1,8)-0,'palkat 1.12.2018'!$B$9:$G$223,5,FALSE)</f>
        <v>2615.05</v>
      </c>
      <c r="E72" s="11">
        <f>IF('muut muuttujat'!$G$3=1,C72,KÄYTTÖTAULU!$B$13)</f>
        <v>2640.01</v>
      </c>
      <c r="F72" s="11">
        <f>IF('muut muuttujat'!$G$3=1,D72,KÄYTTÖTAULU!$B$13)</f>
        <v>2615.05</v>
      </c>
      <c r="G72" s="11">
        <f>KÄYTTÖTAULU!$F$6</f>
        <v>0</v>
      </c>
      <c r="H72" s="11">
        <f>KÄYTTÖTAULU!$F$6</f>
        <v>0</v>
      </c>
      <c r="I72" s="11">
        <f t="shared" si="11"/>
        <v>0</v>
      </c>
      <c r="J72" s="11">
        <f t="shared" si="15"/>
        <v>0</v>
      </c>
      <c r="K72" s="1" t="e">
        <f>ROUND(I72/KÄYTTÖTAULU!$I$8,2)</f>
        <v>#DIV/0!</v>
      </c>
      <c r="L72" s="1" t="e">
        <f>ROUND(J72/KÄYTTÖTAULU!$I$8,2)</f>
        <v>#DIV/0!</v>
      </c>
      <c r="M72" s="1" t="e">
        <f t="shared" si="12"/>
        <v>#DIV/0!</v>
      </c>
      <c r="N72" s="1" t="e">
        <f t="shared" si="13"/>
        <v>#DIV/0!</v>
      </c>
      <c r="O72" s="11" t="e">
        <f>ROUND(ROUND(E72*0.83/KÄYTTÖTAULU!$I$8*12/38,2)*0.96,2)</f>
        <v>#DIV/0!</v>
      </c>
      <c r="P72" s="11" t="e">
        <f>ROUND(ROUND(F72*0.83/KÄYTTÖTAULU!$I$8*12/38,2)*0.96,2)</f>
        <v>#DIV/0!</v>
      </c>
      <c r="Q72" s="11"/>
      <c r="R72" s="24">
        <v>0</v>
      </c>
      <c r="S72" s="25">
        <v>6</v>
      </c>
      <c r="T72" s="25">
        <v>2</v>
      </c>
      <c r="U72" s="25">
        <v>10</v>
      </c>
      <c r="V72" s="25">
        <v>4</v>
      </c>
      <c r="W72" s="50">
        <v>6</v>
      </c>
      <c r="X72" s="25">
        <v>1</v>
      </c>
      <c r="Y72" s="25">
        <f t="shared" si="0"/>
        <v>1.06</v>
      </c>
      <c r="Z72" s="25">
        <f t="shared" si="1"/>
        <v>1.0812000000000002</v>
      </c>
      <c r="AA72" s="25">
        <f t="shared" si="2"/>
        <v>1.1893200000000004</v>
      </c>
      <c r="AB72" s="25">
        <f t="shared" si="14"/>
        <v>1.2368928000000003</v>
      </c>
      <c r="AC72" s="50">
        <f t="shared" si="3"/>
        <v>1.3111063680000004</v>
      </c>
    </row>
    <row r="73" spans="1:29" ht="12.75">
      <c r="A73" s="1">
        <v>68</v>
      </c>
      <c r="B73" s="10" t="s">
        <v>392</v>
      </c>
      <c r="C73" s="200">
        <f>VLOOKUP(MID(B73,1,8)-0,'palkat 1.12.2018'!$B$9:$G$223,3,FALSE)</f>
        <v>2345.28</v>
      </c>
      <c r="D73" s="200">
        <f>VLOOKUP(MID(B73,1,8)-0,'palkat 1.12.2018'!$B$9:$G$223,5,FALSE)</f>
        <v>2323.1</v>
      </c>
      <c r="E73" s="11">
        <f>IF('muut muuttujat'!$G$3=1,C73,KÄYTTÖTAULU!$B$13)</f>
        <v>2345.28</v>
      </c>
      <c r="F73" s="11">
        <f>IF('muut muuttujat'!$G$3=1,D73,KÄYTTÖTAULU!$B$13)</f>
        <v>2323.1</v>
      </c>
      <c r="G73" s="11">
        <f>KÄYTTÖTAULU!$F$6</f>
        <v>0</v>
      </c>
      <c r="H73" s="11">
        <f>KÄYTTÖTAULU!$F$6</f>
        <v>0</v>
      </c>
      <c r="I73" s="11">
        <f t="shared" si="11"/>
        <v>0</v>
      </c>
      <c r="J73" s="11">
        <f t="shared" si="15"/>
        <v>0</v>
      </c>
      <c r="K73" s="1" t="e">
        <f>ROUND(I73/KÄYTTÖTAULU!$I$8,2)</f>
        <v>#DIV/0!</v>
      </c>
      <c r="L73" s="1" t="e">
        <f>ROUND(J73/KÄYTTÖTAULU!$I$8,2)</f>
        <v>#DIV/0!</v>
      </c>
      <c r="M73" s="1" t="e">
        <f t="shared" si="12"/>
        <v>#DIV/0!</v>
      </c>
      <c r="N73" s="1" t="e">
        <f t="shared" si="13"/>
        <v>#DIV/0!</v>
      </c>
      <c r="O73" s="11" t="e">
        <f>ROUND(ROUND(E73*0.83/KÄYTTÖTAULU!$I$8*12/38,2)*0.96,2)</f>
        <v>#DIV/0!</v>
      </c>
      <c r="P73" s="11" t="e">
        <f>ROUND(ROUND(F73*0.83/KÄYTTÖTAULU!$I$8*12/38,2)*0.96,2)</f>
        <v>#DIV/0!</v>
      </c>
      <c r="Q73" s="11"/>
      <c r="R73" s="24">
        <v>0</v>
      </c>
      <c r="S73" s="25">
        <v>6</v>
      </c>
      <c r="T73" s="25">
        <v>2</v>
      </c>
      <c r="U73" s="25">
        <v>10</v>
      </c>
      <c r="V73" s="25">
        <v>4</v>
      </c>
      <c r="W73" s="50">
        <v>6</v>
      </c>
      <c r="X73" s="25">
        <v>1</v>
      </c>
      <c r="Y73" s="25">
        <f t="shared" si="0"/>
        <v>1.06</v>
      </c>
      <c r="Z73" s="25">
        <f t="shared" si="1"/>
        <v>1.0812000000000002</v>
      </c>
      <c r="AA73" s="25">
        <f t="shared" si="2"/>
        <v>1.1893200000000004</v>
      </c>
      <c r="AB73" s="25">
        <f t="shared" si="14"/>
        <v>1.2368928000000003</v>
      </c>
      <c r="AC73" s="50">
        <f t="shared" si="3"/>
        <v>1.3111063680000004</v>
      </c>
    </row>
    <row r="74" spans="1:29" ht="12.75">
      <c r="A74" s="1">
        <v>69</v>
      </c>
      <c r="B74" s="10" t="s">
        <v>393</v>
      </c>
      <c r="C74" s="200">
        <f>VLOOKUP(MID(B74,1,8)-0,'palkat 1.12.2018'!$B$9:$G$223,3,FALSE)</f>
        <v>2172.72</v>
      </c>
      <c r="D74" s="200">
        <f>VLOOKUP(MID(B74,1,8)-0,'palkat 1.12.2018'!$B$9:$G$223,5,FALSE)</f>
        <v>2152.2</v>
      </c>
      <c r="E74" s="11">
        <f>IF('muut muuttujat'!$G$3=1,C74,KÄYTTÖTAULU!$B$13)</f>
        <v>2172.72</v>
      </c>
      <c r="F74" s="11">
        <f>IF('muut muuttujat'!$G$3=1,D74,KÄYTTÖTAULU!$B$13)</f>
        <v>2152.2</v>
      </c>
      <c r="G74" s="11">
        <f>KÄYTTÖTAULU!$F$6</f>
        <v>0</v>
      </c>
      <c r="H74" s="11">
        <f>KÄYTTÖTAULU!$F$6</f>
        <v>0</v>
      </c>
      <c r="I74" s="11">
        <f aca="true" t="shared" si="16" ref="I74:I131">G74*0.83</f>
        <v>0</v>
      </c>
      <c r="J74" s="11">
        <f t="shared" si="15"/>
        <v>0</v>
      </c>
      <c r="K74" s="1" t="e">
        <f>ROUND(I74/KÄYTTÖTAULU!$I$8,2)</f>
        <v>#DIV/0!</v>
      </c>
      <c r="L74" s="1" t="e">
        <f>ROUND(J74/KÄYTTÖTAULU!$I$8,2)</f>
        <v>#DIV/0!</v>
      </c>
      <c r="M74" s="1" t="e">
        <f aca="true" t="shared" si="17" ref="M74:M131">ROUND(K74*(12/38),2)</f>
        <v>#DIV/0!</v>
      </c>
      <c r="N74" s="1" t="e">
        <f aca="true" t="shared" si="18" ref="N74:N131">ROUND(L74*(12/38),2)</f>
        <v>#DIV/0!</v>
      </c>
      <c r="O74" s="11" t="e">
        <f>ROUND(ROUND(E74*0.83/KÄYTTÖTAULU!$I$8*12/38,2)*0.96,2)</f>
        <v>#DIV/0!</v>
      </c>
      <c r="P74" s="11" t="e">
        <f>ROUND(ROUND(F74*0.83/KÄYTTÖTAULU!$I$8*12/38,2)*0.96,2)</f>
        <v>#DIV/0!</v>
      </c>
      <c r="Q74" s="11"/>
      <c r="R74" s="24">
        <v>0</v>
      </c>
      <c r="S74" s="25">
        <v>6</v>
      </c>
      <c r="T74" s="25">
        <v>2</v>
      </c>
      <c r="U74" s="25">
        <v>10</v>
      </c>
      <c r="V74" s="25">
        <v>4</v>
      </c>
      <c r="W74" s="50">
        <v>6</v>
      </c>
      <c r="X74" s="25">
        <v>1</v>
      </c>
      <c r="Y74" s="25">
        <f aca="true" t="shared" si="19" ref="Y74:Y131">1+S74/100</f>
        <v>1.06</v>
      </c>
      <c r="Z74" s="25">
        <f aca="true" t="shared" si="20" ref="Z74:Z131">(1+T74/100)*Y74</f>
        <v>1.0812000000000002</v>
      </c>
      <c r="AA74" s="25">
        <f aca="true" t="shared" si="21" ref="AA74:AA131">(1+U74/100)*Z74</f>
        <v>1.1893200000000004</v>
      </c>
      <c r="AB74" s="25">
        <f t="shared" si="14"/>
        <v>1.2368928000000003</v>
      </c>
      <c r="AC74" s="50">
        <f t="shared" si="3"/>
        <v>1.3111063680000004</v>
      </c>
    </row>
    <row r="75" spans="1:29" ht="12.75">
      <c r="A75" s="1">
        <v>70</v>
      </c>
      <c r="B75" s="10" t="s">
        <v>394</v>
      </c>
      <c r="C75" s="200">
        <f>VLOOKUP(MID(B75,1,8)-0,'palkat 1.12.2018'!$B$9:$G$223,3,FALSE)</f>
        <v>3046.51</v>
      </c>
      <c r="D75" s="200">
        <f>VLOOKUP(MID(B75,1,8)-0,'palkat 1.12.2018'!$B$9:$G$223,5,FALSE)</f>
        <v>3017.74</v>
      </c>
      <c r="E75" s="11">
        <f>IF('muut muuttujat'!$G$3=1,C75,KÄYTTÖTAULU!$B$13)</f>
        <v>3046.51</v>
      </c>
      <c r="F75" s="11">
        <f>IF('muut muuttujat'!$G$3=1,D75,KÄYTTÖTAULU!$B$13)</f>
        <v>3017.74</v>
      </c>
      <c r="G75" s="11">
        <f>KÄYTTÖTAULU!$F$6</f>
        <v>0</v>
      </c>
      <c r="H75" s="11">
        <f>KÄYTTÖTAULU!$F$6</f>
        <v>0</v>
      </c>
      <c r="I75" s="11">
        <f t="shared" si="16"/>
        <v>0</v>
      </c>
      <c r="J75" s="11">
        <f t="shared" si="15"/>
        <v>0</v>
      </c>
      <c r="K75" s="1" t="e">
        <f>ROUND(I75/KÄYTTÖTAULU!$I$8,2)</f>
        <v>#DIV/0!</v>
      </c>
      <c r="L75" s="1" t="e">
        <f>ROUND(J75/KÄYTTÖTAULU!$I$8,2)</f>
        <v>#DIV/0!</v>
      </c>
      <c r="M75" s="1" t="e">
        <f aca="true" t="shared" si="22" ref="M75:N78">ROUND(K75*(12/33),2)</f>
        <v>#DIV/0!</v>
      </c>
      <c r="N75" s="1" t="e">
        <f t="shared" si="22"/>
        <v>#DIV/0!</v>
      </c>
      <c r="O75" s="11"/>
      <c r="P75" s="11"/>
      <c r="Q75" s="11"/>
      <c r="R75" s="24">
        <v>0</v>
      </c>
      <c r="S75" s="25">
        <v>6</v>
      </c>
      <c r="T75" s="25">
        <v>2</v>
      </c>
      <c r="U75" s="25">
        <v>10</v>
      </c>
      <c r="V75" s="25">
        <v>4</v>
      </c>
      <c r="W75" s="50">
        <v>6</v>
      </c>
      <c r="X75" s="25">
        <v>1</v>
      </c>
      <c r="Y75" s="25">
        <f t="shared" si="19"/>
        <v>1.06</v>
      </c>
      <c r="Z75" s="25">
        <f t="shared" si="20"/>
        <v>1.0812000000000002</v>
      </c>
      <c r="AA75" s="25">
        <f t="shared" si="21"/>
        <v>1.1893200000000004</v>
      </c>
      <c r="AB75" s="25">
        <f t="shared" si="14"/>
        <v>1.2368928000000003</v>
      </c>
      <c r="AC75" s="50">
        <f aca="true" t="shared" si="23" ref="AC75:AC131">(1+W75/100)*AB75</f>
        <v>1.3111063680000004</v>
      </c>
    </row>
    <row r="76" spans="1:29" ht="12.75">
      <c r="A76" s="1">
        <v>71</v>
      </c>
      <c r="B76" s="10" t="s">
        <v>395</v>
      </c>
      <c r="C76" s="200">
        <f>VLOOKUP(MID(B76,1,8)-0,'palkat 1.12.2018'!$B$9:$G$223,3,FALSE)</f>
        <v>2904.67</v>
      </c>
      <c r="D76" s="200">
        <f>VLOOKUP(MID(B76,1,8)-0,'palkat 1.12.2018'!$B$9:$G$223,5,FALSE)</f>
        <v>2877.18</v>
      </c>
      <c r="E76" s="11">
        <f>IF('muut muuttujat'!$G$3=1,C76,KÄYTTÖTAULU!$B$13)</f>
        <v>2904.67</v>
      </c>
      <c r="F76" s="11">
        <f>IF('muut muuttujat'!$G$3=1,D76,KÄYTTÖTAULU!$B$13)</f>
        <v>2877.18</v>
      </c>
      <c r="G76" s="11">
        <f>KÄYTTÖTAULU!$F$6</f>
        <v>0</v>
      </c>
      <c r="H76" s="11">
        <f>KÄYTTÖTAULU!$F$6</f>
        <v>0</v>
      </c>
      <c r="I76" s="11">
        <f t="shared" si="16"/>
        <v>0</v>
      </c>
      <c r="J76" s="11">
        <f t="shared" si="15"/>
        <v>0</v>
      </c>
      <c r="K76" s="1" t="e">
        <f>ROUND(I76/KÄYTTÖTAULU!$I$8,2)</f>
        <v>#DIV/0!</v>
      </c>
      <c r="L76" s="1" t="e">
        <f>ROUND(J76/KÄYTTÖTAULU!$I$8,2)</f>
        <v>#DIV/0!</v>
      </c>
      <c r="M76" s="1" t="e">
        <f t="shared" si="22"/>
        <v>#DIV/0!</v>
      </c>
      <c r="N76" s="1" t="e">
        <f t="shared" si="22"/>
        <v>#DIV/0!</v>
      </c>
      <c r="O76" s="11"/>
      <c r="P76" s="11"/>
      <c r="Q76" s="11"/>
      <c r="R76" s="24">
        <v>0</v>
      </c>
      <c r="S76" s="25">
        <v>6</v>
      </c>
      <c r="T76" s="25">
        <v>2</v>
      </c>
      <c r="U76" s="25">
        <v>10</v>
      </c>
      <c r="V76" s="25">
        <v>4</v>
      </c>
      <c r="W76" s="50">
        <v>6</v>
      </c>
      <c r="X76" s="25">
        <v>1</v>
      </c>
      <c r="Y76" s="25">
        <f t="shared" si="19"/>
        <v>1.06</v>
      </c>
      <c r="Z76" s="25">
        <f t="shared" si="20"/>
        <v>1.0812000000000002</v>
      </c>
      <c r="AA76" s="25">
        <f t="shared" si="21"/>
        <v>1.1893200000000004</v>
      </c>
      <c r="AB76" s="25">
        <f t="shared" si="14"/>
        <v>1.2368928000000003</v>
      </c>
      <c r="AC76" s="50">
        <f t="shared" si="23"/>
        <v>1.3111063680000004</v>
      </c>
    </row>
    <row r="77" spans="1:29" ht="12.75">
      <c r="A77" s="1">
        <v>72</v>
      </c>
      <c r="B77" s="10" t="s">
        <v>396</v>
      </c>
      <c r="C77" s="200">
        <f>VLOOKUP(MID(B77,1,8)-0,'palkat 1.12.2018'!$B$9:$G$223,3,FALSE)</f>
        <v>2456.24</v>
      </c>
      <c r="D77" s="200">
        <f>VLOOKUP(MID(B77,1,8)-0,'palkat 1.12.2018'!$B$9:$G$223,5,FALSE)</f>
        <v>2433.03</v>
      </c>
      <c r="E77" s="11">
        <f>IF('muut muuttujat'!$G$3=1,C77,KÄYTTÖTAULU!$B$13)</f>
        <v>2456.24</v>
      </c>
      <c r="F77" s="11">
        <f>IF('muut muuttujat'!$G$3=1,D77,KÄYTTÖTAULU!$B$13)</f>
        <v>2433.03</v>
      </c>
      <c r="G77" s="11">
        <f>KÄYTTÖTAULU!$F$6</f>
        <v>0</v>
      </c>
      <c r="H77" s="11">
        <f>KÄYTTÖTAULU!$F$6</f>
        <v>0</v>
      </c>
      <c r="I77" s="11">
        <f t="shared" si="16"/>
        <v>0</v>
      </c>
      <c r="J77" s="11">
        <f t="shared" si="15"/>
        <v>0</v>
      </c>
      <c r="K77" s="1" t="e">
        <f>ROUND(I77/KÄYTTÖTAULU!$I$8,2)</f>
        <v>#DIV/0!</v>
      </c>
      <c r="L77" s="1" t="e">
        <f>ROUND(J77/KÄYTTÖTAULU!$I$8,2)</f>
        <v>#DIV/0!</v>
      </c>
      <c r="M77" s="1" t="e">
        <f t="shared" si="22"/>
        <v>#DIV/0!</v>
      </c>
      <c r="N77" s="1" t="e">
        <f t="shared" si="22"/>
        <v>#DIV/0!</v>
      </c>
      <c r="O77" s="11"/>
      <c r="P77" s="11"/>
      <c r="Q77" s="11"/>
      <c r="R77" s="24">
        <v>0</v>
      </c>
      <c r="S77" s="25">
        <v>6</v>
      </c>
      <c r="T77" s="25">
        <v>2</v>
      </c>
      <c r="U77" s="25">
        <v>10</v>
      </c>
      <c r="V77" s="25">
        <v>4</v>
      </c>
      <c r="W77" s="50">
        <v>6</v>
      </c>
      <c r="X77" s="25">
        <v>1</v>
      </c>
      <c r="Y77" s="25">
        <f t="shared" si="19"/>
        <v>1.06</v>
      </c>
      <c r="Z77" s="25">
        <f t="shared" si="20"/>
        <v>1.0812000000000002</v>
      </c>
      <c r="AA77" s="25">
        <f t="shared" si="21"/>
        <v>1.1893200000000004</v>
      </c>
      <c r="AB77" s="25">
        <f t="shared" si="14"/>
        <v>1.2368928000000003</v>
      </c>
      <c r="AC77" s="50">
        <f t="shared" si="23"/>
        <v>1.3111063680000004</v>
      </c>
    </row>
    <row r="78" spans="1:29" ht="12.75">
      <c r="A78" s="1">
        <v>73</v>
      </c>
      <c r="B78" s="10" t="s">
        <v>397</v>
      </c>
      <c r="C78" s="200">
        <f>VLOOKUP(MID(B78,1,8)-0,'palkat 1.12.2018'!$B$9:$G$223,3,FALSE)</f>
        <v>2173.82</v>
      </c>
      <c r="D78" s="200">
        <f>VLOOKUP(MID(B78,1,8)-0,'palkat 1.12.2018'!$B$9:$G$223,5,FALSE)</f>
        <v>2153.28</v>
      </c>
      <c r="E78" s="11">
        <f>IF('muut muuttujat'!$G$3=1,C78,KÄYTTÖTAULU!$B$13)</f>
        <v>2173.82</v>
      </c>
      <c r="F78" s="11">
        <f>IF('muut muuttujat'!$G$3=1,D78,KÄYTTÖTAULU!$B$13)</f>
        <v>2153.28</v>
      </c>
      <c r="G78" s="11">
        <f>KÄYTTÖTAULU!$F$6</f>
        <v>0</v>
      </c>
      <c r="H78" s="11">
        <f>KÄYTTÖTAULU!$F$6</f>
        <v>0</v>
      </c>
      <c r="I78" s="11">
        <f t="shared" si="16"/>
        <v>0</v>
      </c>
      <c r="J78" s="11">
        <f t="shared" si="15"/>
        <v>0</v>
      </c>
      <c r="K78" s="1" t="e">
        <f>ROUND(I78/KÄYTTÖTAULU!$I$8,2)</f>
        <v>#DIV/0!</v>
      </c>
      <c r="L78" s="1" t="e">
        <f>ROUND(J78/KÄYTTÖTAULU!$I$8,2)</f>
        <v>#DIV/0!</v>
      </c>
      <c r="M78" s="1" t="e">
        <f t="shared" si="22"/>
        <v>#DIV/0!</v>
      </c>
      <c r="N78" s="1" t="e">
        <f t="shared" si="22"/>
        <v>#DIV/0!</v>
      </c>
      <c r="O78" s="11"/>
      <c r="P78" s="11"/>
      <c r="Q78" s="11"/>
      <c r="R78" s="24">
        <v>0</v>
      </c>
      <c r="S78" s="25">
        <v>6</v>
      </c>
      <c r="T78" s="25">
        <v>2</v>
      </c>
      <c r="U78" s="25">
        <v>10</v>
      </c>
      <c r="V78" s="25">
        <v>4</v>
      </c>
      <c r="W78" s="50">
        <v>6</v>
      </c>
      <c r="X78" s="25">
        <v>1</v>
      </c>
      <c r="Y78" s="25">
        <f t="shared" si="19"/>
        <v>1.06</v>
      </c>
      <c r="Z78" s="25">
        <f t="shared" si="20"/>
        <v>1.0812000000000002</v>
      </c>
      <c r="AA78" s="25">
        <f t="shared" si="21"/>
        <v>1.1893200000000004</v>
      </c>
      <c r="AB78" s="25">
        <f t="shared" si="14"/>
        <v>1.2368928000000003</v>
      </c>
      <c r="AC78" s="50">
        <f t="shared" si="23"/>
        <v>1.3111063680000004</v>
      </c>
    </row>
    <row r="79" spans="1:29" ht="12.75">
      <c r="A79" s="1">
        <v>74</v>
      </c>
      <c r="B79" s="10" t="s">
        <v>398</v>
      </c>
      <c r="C79" s="200">
        <f>VLOOKUP(MID(B79,1,8)-0,'palkat 1.12.2018'!$B$9:$G$223,3,FALSE)</f>
        <v>3046.51</v>
      </c>
      <c r="D79" s="200">
        <f>VLOOKUP(MID(B79,1,8)-0,'palkat 1.12.2018'!$B$9:$G$223,5,FALSE)</f>
        <v>3017.74</v>
      </c>
      <c r="E79" s="11">
        <f>IF('muut muuttujat'!$G$3=1,C79,KÄYTTÖTAULU!$B$13)</f>
        <v>3046.51</v>
      </c>
      <c r="F79" s="11">
        <f>IF('muut muuttujat'!$G$3=1,D79,KÄYTTÖTAULU!$B$13)</f>
        <v>3017.74</v>
      </c>
      <c r="G79" s="11">
        <f>KÄYTTÖTAULU!$F$6</f>
        <v>0</v>
      </c>
      <c r="H79" s="11">
        <f>KÄYTTÖTAULU!$F$6</f>
        <v>0</v>
      </c>
      <c r="I79" s="11">
        <f t="shared" si="16"/>
        <v>0</v>
      </c>
      <c r="J79" s="11">
        <f t="shared" si="15"/>
        <v>0</v>
      </c>
      <c r="K79" s="1" t="e">
        <f>ROUND(I79/KÄYTTÖTAULU!$I$8,2)</f>
        <v>#DIV/0!</v>
      </c>
      <c r="L79" s="1" t="e">
        <f>ROUND(J79/KÄYTTÖTAULU!$I$8,2)</f>
        <v>#DIV/0!</v>
      </c>
      <c r="M79" s="1" t="e">
        <f aca="true" t="shared" si="24" ref="M79:N82">ROUND(K79*(12/33),2)</f>
        <v>#DIV/0!</v>
      </c>
      <c r="N79" s="1" t="e">
        <f t="shared" si="24"/>
        <v>#DIV/0!</v>
      </c>
      <c r="O79" s="11" t="e">
        <f>ROUND(ROUND(E79*0.83/KÄYTTÖTAULU!$I$8*12/33,2)*0.96,2)</f>
        <v>#DIV/0!</v>
      </c>
      <c r="P79" s="11" t="e">
        <f>ROUND(ROUND(F79*0.83/KÄYTTÖTAULU!$I$8*12/33,2)*0.96,2)</f>
        <v>#DIV/0!</v>
      </c>
      <c r="Q79" s="11"/>
      <c r="R79" s="24">
        <v>0</v>
      </c>
      <c r="S79" s="25">
        <v>6</v>
      </c>
      <c r="T79" s="25">
        <v>2</v>
      </c>
      <c r="U79" s="25">
        <v>10</v>
      </c>
      <c r="V79" s="25">
        <v>4</v>
      </c>
      <c r="W79" s="50">
        <v>6</v>
      </c>
      <c r="X79" s="25">
        <v>1</v>
      </c>
      <c r="Y79" s="25">
        <f t="shared" si="19"/>
        <v>1.06</v>
      </c>
      <c r="Z79" s="25">
        <f t="shared" si="20"/>
        <v>1.0812000000000002</v>
      </c>
      <c r="AA79" s="25">
        <f t="shared" si="21"/>
        <v>1.1893200000000004</v>
      </c>
      <c r="AB79" s="25">
        <f t="shared" si="14"/>
        <v>1.2368928000000003</v>
      </c>
      <c r="AC79" s="50">
        <f t="shared" si="23"/>
        <v>1.3111063680000004</v>
      </c>
    </row>
    <row r="80" spans="1:29" ht="12.75">
      <c r="A80" s="1">
        <v>75</v>
      </c>
      <c r="B80" s="10" t="s">
        <v>399</v>
      </c>
      <c r="C80" s="200">
        <f>VLOOKUP(MID(B80,1,8)-0,'palkat 1.12.2018'!$B$9:$G$223,3,FALSE)</f>
        <v>2640.01</v>
      </c>
      <c r="D80" s="200">
        <f>VLOOKUP(MID(B80,1,8)-0,'palkat 1.12.2018'!$B$9:$G$223,5,FALSE)</f>
        <v>2615.05</v>
      </c>
      <c r="E80" s="11">
        <f>IF('muut muuttujat'!$G$3=1,C80,KÄYTTÖTAULU!$B$13)</f>
        <v>2640.01</v>
      </c>
      <c r="F80" s="11">
        <f>IF('muut muuttujat'!$G$3=1,D80,KÄYTTÖTAULU!$B$13)</f>
        <v>2615.05</v>
      </c>
      <c r="G80" s="11">
        <f>KÄYTTÖTAULU!$F$6</f>
        <v>0</v>
      </c>
      <c r="H80" s="11">
        <f>KÄYTTÖTAULU!$F$6</f>
        <v>0</v>
      </c>
      <c r="I80" s="11">
        <f t="shared" si="16"/>
        <v>0</v>
      </c>
      <c r="J80" s="11">
        <f t="shared" si="15"/>
        <v>0</v>
      </c>
      <c r="K80" s="1" t="e">
        <f>ROUND(I80/KÄYTTÖTAULU!$I$8,2)</f>
        <v>#DIV/0!</v>
      </c>
      <c r="L80" s="1" t="e">
        <f>ROUND(J80/KÄYTTÖTAULU!$I$8,2)</f>
        <v>#DIV/0!</v>
      </c>
      <c r="M80" s="1" t="e">
        <f t="shared" si="24"/>
        <v>#DIV/0!</v>
      </c>
      <c r="N80" s="1" t="e">
        <f t="shared" si="24"/>
        <v>#DIV/0!</v>
      </c>
      <c r="O80" s="11" t="e">
        <f>ROUND(ROUND(E80*0.83/KÄYTTÖTAULU!$I$8*12/33,2)*0.96,2)</f>
        <v>#DIV/0!</v>
      </c>
      <c r="P80" s="11" t="e">
        <f>ROUND(ROUND(F80*0.83/KÄYTTÖTAULU!$I$8*12/33,2)*0.96,2)</f>
        <v>#DIV/0!</v>
      </c>
      <c r="Q80" s="11"/>
      <c r="R80" s="24">
        <v>0</v>
      </c>
      <c r="S80" s="25">
        <v>6</v>
      </c>
      <c r="T80" s="25">
        <v>2</v>
      </c>
      <c r="U80" s="25">
        <v>10</v>
      </c>
      <c r="V80" s="25">
        <v>4</v>
      </c>
      <c r="W80" s="50">
        <v>6</v>
      </c>
      <c r="X80" s="25">
        <v>1</v>
      </c>
      <c r="Y80" s="25">
        <f t="shared" si="19"/>
        <v>1.06</v>
      </c>
      <c r="Z80" s="25">
        <f t="shared" si="20"/>
        <v>1.0812000000000002</v>
      </c>
      <c r="AA80" s="25">
        <f t="shared" si="21"/>
        <v>1.1893200000000004</v>
      </c>
      <c r="AB80" s="25">
        <f t="shared" si="14"/>
        <v>1.2368928000000003</v>
      </c>
      <c r="AC80" s="50">
        <f t="shared" si="23"/>
        <v>1.3111063680000004</v>
      </c>
    </row>
    <row r="81" spans="1:29" ht="12.75">
      <c r="A81" s="1">
        <v>76</v>
      </c>
      <c r="B81" s="10" t="s">
        <v>400</v>
      </c>
      <c r="C81" s="200">
        <f>VLOOKUP(MID(B81,1,8)-0,'palkat 1.12.2018'!$B$9:$G$223,3,FALSE)</f>
        <v>2345.28</v>
      </c>
      <c r="D81" s="200">
        <f>VLOOKUP(MID(B81,1,8)-0,'palkat 1.12.2018'!$B$9:$G$223,5,FALSE)</f>
        <v>2323.1</v>
      </c>
      <c r="E81" s="11">
        <f>IF('muut muuttujat'!$G$3=1,C81,KÄYTTÖTAULU!$B$13)</f>
        <v>2345.28</v>
      </c>
      <c r="F81" s="11">
        <f>IF('muut muuttujat'!$G$3=1,D81,KÄYTTÖTAULU!$B$13)</f>
        <v>2323.1</v>
      </c>
      <c r="G81" s="11">
        <f>KÄYTTÖTAULU!$F$6</f>
        <v>0</v>
      </c>
      <c r="H81" s="11">
        <f>KÄYTTÖTAULU!$F$6</f>
        <v>0</v>
      </c>
      <c r="I81" s="11">
        <f t="shared" si="16"/>
        <v>0</v>
      </c>
      <c r="J81" s="11">
        <f t="shared" si="15"/>
        <v>0</v>
      </c>
      <c r="K81" s="1" t="e">
        <f>ROUND(I81/KÄYTTÖTAULU!$I$8,2)</f>
        <v>#DIV/0!</v>
      </c>
      <c r="L81" s="1" t="e">
        <f>ROUND(J81/KÄYTTÖTAULU!$I$8,2)</f>
        <v>#DIV/0!</v>
      </c>
      <c r="M81" s="1" t="e">
        <f t="shared" si="24"/>
        <v>#DIV/0!</v>
      </c>
      <c r="N81" s="1" t="e">
        <f t="shared" si="24"/>
        <v>#DIV/0!</v>
      </c>
      <c r="O81" s="11" t="e">
        <f>ROUND(ROUND(E81*0.83/KÄYTTÖTAULU!$I$8*12/33,2)*0.96,2)</f>
        <v>#DIV/0!</v>
      </c>
      <c r="P81" s="11" t="e">
        <f>ROUND(ROUND(F81*0.83/KÄYTTÖTAULU!$I$8*12/33,2)*0.96,2)</f>
        <v>#DIV/0!</v>
      </c>
      <c r="Q81" s="11"/>
      <c r="R81" s="24">
        <v>0</v>
      </c>
      <c r="S81" s="25">
        <v>6</v>
      </c>
      <c r="T81" s="25">
        <v>2</v>
      </c>
      <c r="U81" s="25">
        <v>10</v>
      </c>
      <c r="V81" s="25">
        <v>4</v>
      </c>
      <c r="W81" s="50">
        <v>6</v>
      </c>
      <c r="X81" s="25">
        <v>1</v>
      </c>
      <c r="Y81" s="25">
        <f t="shared" si="19"/>
        <v>1.06</v>
      </c>
      <c r="Z81" s="25">
        <f t="shared" si="20"/>
        <v>1.0812000000000002</v>
      </c>
      <c r="AA81" s="25">
        <f t="shared" si="21"/>
        <v>1.1893200000000004</v>
      </c>
      <c r="AB81" s="25">
        <f t="shared" si="14"/>
        <v>1.2368928000000003</v>
      </c>
      <c r="AC81" s="50">
        <f t="shared" si="23"/>
        <v>1.3111063680000004</v>
      </c>
    </row>
    <row r="82" spans="1:29" ht="12.75">
      <c r="A82" s="1">
        <v>77</v>
      </c>
      <c r="B82" s="10" t="s">
        <v>401</v>
      </c>
      <c r="C82" s="200">
        <f>VLOOKUP(MID(B82,1,8)-0,'palkat 1.12.2018'!$B$9:$G$223,3,FALSE)</f>
        <v>2172.72</v>
      </c>
      <c r="D82" s="200">
        <f>VLOOKUP(MID(B82,1,8)-0,'palkat 1.12.2018'!$B$9:$G$223,5,FALSE)</f>
        <v>2152.2</v>
      </c>
      <c r="E82" s="11">
        <f>IF('muut muuttujat'!$G$3=1,C82,KÄYTTÖTAULU!$B$13)</f>
        <v>2172.72</v>
      </c>
      <c r="F82" s="11">
        <f>IF('muut muuttujat'!$G$3=1,D82,KÄYTTÖTAULU!$B$13)</f>
        <v>2152.2</v>
      </c>
      <c r="G82" s="11">
        <f>KÄYTTÖTAULU!$F$6</f>
        <v>0</v>
      </c>
      <c r="H82" s="11">
        <f>KÄYTTÖTAULU!$F$6</f>
        <v>0</v>
      </c>
      <c r="I82" s="11">
        <f t="shared" si="16"/>
        <v>0</v>
      </c>
      <c r="J82" s="11">
        <f t="shared" si="15"/>
        <v>0</v>
      </c>
      <c r="K82" s="1" t="e">
        <f>ROUND(I82/KÄYTTÖTAULU!$I$8,2)</f>
        <v>#DIV/0!</v>
      </c>
      <c r="L82" s="1" t="e">
        <f>ROUND(J82/KÄYTTÖTAULU!$I$8,2)</f>
        <v>#DIV/0!</v>
      </c>
      <c r="M82" s="1" t="e">
        <f t="shared" si="24"/>
        <v>#DIV/0!</v>
      </c>
      <c r="N82" s="1" t="e">
        <f t="shared" si="24"/>
        <v>#DIV/0!</v>
      </c>
      <c r="O82" s="11" t="e">
        <f>ROUND(ROUND(E82*0.83/KÄYTTÖTAULU!$I$8*12/33,2)*0.96,2)</f>
        <v>#DIV/0!</v>
      </c>
      <c r="P82" s="11" t="e">
        <f>ROUND(ROUND(F82*0.83/KÄYTTÖTAULU!$I$8*12/33,2)*0.96,2)</f>
        <v>#DIV/0!</v>
      </c>
      <c r="Q82" s="11"/>
      <c r="R82" s="24">
        <v>0</v>
      </c>
      <c r="S82" s="25">
        <v>6</v>
      </c>
      <c r="T82" s="25">
        <v>2</v>
      </c>
      <c r="U82" s="25">
        <v>10</v>
      </c>
      <c r="V82" s="25">
        <v>4</v>
      </c>
      <c r="W82" s="50">
        <v>6</v>
      </c>
      <c r="X82" s="25">
        <v>1</v>
      </c>
      <c r="Y82" s="25">
        <f t="shared" si="19"/>
        <v>1.06</v>
      </c>
      <c r="Z82" s="25">
        <f t="shared" si="20"/>
        <v>1.0812000000000002</v>
      </c>
      <c r="AA82" s="25">
        <f t="shared" si="21"/>
        <v>1.1893200000000004</v>
      </c>
      <c r="AB82" s="25">
        <f t="shared" si="14"/>
        <v>1.2368928000000003</v>
      </c>
      <c r="AC82" s="50">
        <f t="shared" si="23"/>
        <v>1.3111063680000004</v>
      </c>
    </row>
    <row r="83" spans="1:29" ht="12.75">
      <c r="A83" s="1">
        <v>78</v>
      </c>
      <c r="B83" s="10" t="s">
        <v>402</v>
      </c>
      <c r="C83" s="200">
        <f>VLOOKUP(MID(B83,1,8)-0,'palkat 1.12.2018'!$B$9:$G$223,3,FALSE)</f>
        <v>3960.34</v>
      </c>
      <c r="D83" s="200">
        <f>VLOOKUP(MID(B83,1,8)-0,'palkat 1.12.2018'!$B$9:$G$223,5,FALSE)</f>
        <v>3922.39</v>
      </c>
      <c r="E83" s="11">
        <f>IF('muut muuttujat'!$G$3=1,C83,KÄYTTÖTAULU!$B$13)</f>
        <v>3960.34</v>
      </c>
      <c r="F83" s="11">
        <f>IF('muut muuttujat'!$G$3=1,D83,KÄYTTÖTAULU!$B$13)</f>
        <v>3922.39</v>
      </c>
      <c r="G83" s="11">
        <f>KÄYTTÖTAULU!$F$6</f>
        <v>0</v>
      </c>
      <c r="H83" s="11">
        <f>KÄYTTÖTAULU!$F$6</f>
        <v>0</v>
      </c>
      <c r="I83" s="11"/>
      <c r="J83" s="11"/>
      <c r="O83" s="11"/>
      <c r="P83" s="11"/>
      <c r="Q83" s="11"/>
      <c r="R83" s="24">
        <v>0</v>
      </c>
      <c r="S83" s="25">
        <v>0</v>
      </c>
      <c r="T83" s="25">
        <v>0</v>
      </c>
      <c r="U83" s="25">
        <v>5</v>
      </c>
      <c r="V83" s="25">
        <v>4</v>
      </c>
      <c r="W83" s="50">
        <v>4</v>
      </c>
      <c r="X83" s="25">
        <v>1</v>
      </c>
      <c r="Y83" s="25">
        <f t="shared" si="19"/>
        <v>1</v>
      </c>
      <c r="Z83" s="25">
        <f t="shared" si="20"/>
        <v>1</v>
      </c>
      <c r="AA83" s="25">
        <f t="shared" si="21"/>
        <v>1.05</v>
      </c>
      <c r="AB83" s="25">
        <f t="shared" si="14"/>
        <v>1.092</v>
      </c>
      <c r="AC83" s="50">
        <f t="shared" si="23"/>
        <v>1.13568</v>
      </c>
    </row>
    <row r="84" spans="1:29" ht="12.75">
      <c r="A84" s="1">
        <v>79</v>
      </c>
      <c r="B84" s="10" t="s">
        <v>403</v>
      </c>
      <c r="C84" s="200">
        <f>VLOOKUP(MID(B84,1,8)-0,'palkat 1.12.2018'!$B$9:$G$223,3,FALSE)</f>
        <v>3760.82</v>
      </c>
      <c r="D84" s="200">
        <f>VLOOKUP(MID(B84,1,8)-0,'palkat 1.12.2018'!$B$9:$G$223,5,FALSE)</f>
        <v>3724.69</v>
      </c>
      <c r="E84" s="11">
        <f>IF('muut muuttujat'!$G$3=1,C84,KÄYTTÖTAULU!$B$13)</f>
        <v>3760.82</v>
      </c>
      <c r="F84" s="11">
        <f>IF('muut muuttujat'!$G$3=1,D84,KÄYTTÖTAULU!$B$13)</f>
        <v>3724.69</v>
      </c>
      <c r="G84" s="11">
        <f>KÄYTTÖTAULU!$F$6</f>
        <v>0</v>
      </c>
      <c r="H84" s="11">
        <f>KÄYTTÖTAULU!$F$6</f>
        <v>0</v>
      </c>
      <c r="I84" s="11"/>
      <c r="J84" s="11"/>
      <c r="O84" s="11"/>
      <c r="P84" s="11"/>
      <c r="Q84" s="11"/>
      <c r="R84" s="24">
        <v>0</v>
      </c>
      <c r="S84" s="25">
        <v>0</v>
      </c>
      <c r="T84" s="25">
        <v>0</v>
      </c>
      <c r="U84" s="25">
        <v>5</v>
      </c>
      <c r="V84" s="25">
        <v>4</v>
      </c>
      <c r="W84" s="50">
        <v>4</v>
      </c>
      <c r="X84" s="25">
        <v>1</v>
      </c>
      <c r="Y84" s="25">
        <f t="shared" si="19"/>
        <v>1</v>
      </c>
      <c r="Z84" s="25">
        <f t="shared" si="20"/>
        <v>1</v>
      </c>
      <c r="AA84" s="25">
        <f t="shared" si="21"/>
        <v>1.05</v>
      </c>
      <c r="AB84" s="25">
        <f t="shared" si="14"/>
        <v>1.092</v>
      </c>
      <c r="AC84" s="50">
        <f t="shared" si="23"/>
        <v>1.13568</v>
      </c>
    </row>
    <row r="85" spans="1:29" ht="12.75">
      <c r="A85" s="1">
        <v>80</v>
      </c>
      <c r="B85" s="10" t="s">
        <v>404</v>
      </c>
      <c r="C85" s="200">
        <f>VLOOKUP(MID(B85,1,8)-0,'palkat 1.12.2018'!$B$9:$G$223,3,FALSE)</f>
        <v>3630.69</v>
      </c>
      <c r="D85" s="200">
        <f>VLOOKUP(MID(B85,1,8)-0,'palkat 1.12.2018'!$B$9:$G$223,5,FALSE)</f>
        <v>3595.49</v>
      </c>
      <c r="E85" s="11">
        <f>IF('muut muuttujat'!$G$3=1,C85,KÄYTTÖTAULU!$B$13)</f>
        <v>3630.69</v>
      </c>
      <c r="F85" s="11">
        <f>IF('muut muuttujat'!$G$3=1,D85,KÄYTTÖTAULU!$B$13)</f>
        <v>3595.49</v>
      </c>
      <c r="G85" s="11">
        <f>KÄYTTÖTAULU!$F$6</f>
        <v>0</v>
      </c>
      <c r="H85" s="11">
        <f>KÄYTTÖTAULU!$F$6</f>
        <v>0</v>
      </c>
      <c r="I85" s="11"/>
      <c r="J85" s="11"/>
      <c r="O85" s="11"/>
      <c r="P85" s="11"/>
      <c r="Q85" s="11"/>
      <c r="R85" s="24">
        <v>0</v>
      </c>
      <c r="S85" s="25">
        <v>0</v>
      </c>
      <c r="T85" s="25">
        <v>0</v>
      </c>
      <c r="U85" s="25">
        <v>5</v>
      </c>
      <c r="V85" s="25">
        <v>4</v>
      </c>
      <c r="W85" s="50">
        <v>4</v>
      </c>
      <c r="X85" s="25">
        <v>1</v>
      </c>
      <c r="Y85" s="25">
        <f t="shared" si="19"/>
        <v>1</v>
      </c>
      <c r="Z85" s="25">
        <f t="shared" si="20"/>
        <v>1</v>
      </c>
      <c r="AA85" s="25">
        <f t="shared" si="21"/>
        <v>1.05</v>
      </c>
      <c r="AB85" s="25">
        <f t="shared" si="14"/>
        <v>1.092</v>
      </c>
      <c r="AC85" s="50">
        <f t="shared" si="23"/>
        <v>1.13568</v>
      </c>
    </row>
    <row r="86" spans="1:29" ht="12.75">
      <c r="A86" s="1">
        <v>81</v>
      </c>
      <c r="B86" s="10" t="s">
        <v>405</v>
      </c>
      <c r="C86" s="200">
        <f>VLOOKUP(MID(B86,1,8)-0,'palkat 1.12.2018'!$B$9:$G$223,3,FALSE)</f>
        <v>3458.18</v>
      </c>
      <c r="D86" s="200">
        <f>VLOOKUP(MID(B86,1,8)-0,'palkat 1.12.2018'!$B$9:$G$223,5,FALSE)</f>
        <v>3424.65</v>
      </c>
      <c r="E86" s="11">
        <f>IF('muut muuttujat'!$G$3=1,C86,KÄYTTÖTAULU!$B$13)</f>
        <v>3458.18</v>
      </c>
      <c r="F86" s="11">
        <f>IF('muut muuttujat'!$G$3=1,D86,KÄYTTÖTAULU!$B$13)</f>
        <v>3424.65</v>
      </c>
      <c r="G86" s="11">
        <f>KÄYTTÖTAULU!$F$6</f>
        <v>0</v>
      </c>
      <c r="H86" s="11">
        <f>KÄYTTÖTAULU!$F$6</f>
        <v>0</v>
      </c>
      <c r="I86" s="11"/>
      <c r="J86" s="11"/>
      <c r="O86" s="11"/>
      <c r="P86" s="11"/>
      <c r="Q86" s="11"/>
      <c r="R86" s="24">
        <v>0</v>
      </c>
      <c r="S86" s="25">
        <v>2</v>
      </c>
      <c r="T86" s="25">
        <v>3</v>
      </c>
      <c r="U86" s="25">
        <v>5</v>
      </c>
      <c r="V86" s="25">
        <v>4</v>
      </c>
      <c r="W86" s="50">
        <v>4</v>
      </c>
      <c r="X86" s="25">
        <v>1</v>
      </c>
      <c r="Y86" s="25">
        <f t="shared" si="19"/>
        <v>1.02</v>
      </c>
      <c r="Z86" s="25">
        <f t="shared" si="20"/>
        <v>1.0506</v>
      </c>
      <c r="AA86" s="25">
        <f t="shared" si="21"/>
        <v>1.10313</v>
      </c>
      <c r="AB86" s="25">
        <f t="shared" si="14"/>
        <v>1.1472552</v>
      </c>
      <c r="AC86" s="50">
        <f t="shared" si="23"/>
        <v>1.1931454080000001</v>
      </c>
    </row>
    <row r="87" spans="1:29" ht="12.75">
      <c r="A87" s="1">
        <v>82</v>
      </c>
      <c r="B87" s="10" t="s">
        <v>406</v>
      </c>
      <c r="C87" s="200">
        <f>VLOOKUP(MID(B87,1,8)-0,'palkat 1.12.2018'!$B$9:$G$223,3,FALSE)</f>
        <v>3358.72</v>
      </c>
      <c r="D87" s="200">
        <f>VLOOKUP(MID(B87,1,8)-0,'palkat 1.12.2018'!$B$9:$G$223,5,FALSE)</f>
        <v>3326.36</v>
      </c>
      <c r="E87" s="11">
        <f>IF('muut muuttujat'!$G$3=1,C87,KÄYTTÖTAULU!$B$13)</f>
        <v>3358.72</v>
      </c>
      <c r="F87" s="11">
        <f>IF('muut muuttujat'!$G$3=1,D87,KÄYTTÖTAULU!$B$13)</f>
        <v>3326.36</v>
      </c>
      <c r="G87" s="11">
        <f>KÄYTTÖTAULU!$F$6</f>
        <v>0</v>
      </c>
      <c r="H87" s="11">
        <f>KÄYTTÖTAULU!$F$6</f>
        <v>0</v>
      </c>
      <c r="I87" s="11"/>
      <c r="J87" s="11"/>
      <c r="O87" s="11"/>
      <c r="P87" s="11"/>
      <c r="Q87" s="11"/>
      <c r="R87" s="24">
        <v>0</v>
      </c>
      <c r="S87" s="25">
        <v>2</v>
      </c>
      <c r="T87" s="25">
        <v>3</v>
      </c>
      <c r="U87" s="25">
        <v>5</v>
      </c>
      <c r="V87" s="25">
        <v>4</v>
      </c>
      <c r="W87" s="50">
        <v>4</v>
      </c>
      <c r="X87" s="25">
        <v>1</v>
      </c>
      <c r="Y87" s="25">
        <f t="shared" si="19"/>
        <v>1.02</v>
      </c>
      <c r="Z87" s="25">
        <f t="shared" si="20"/>
        <v>1.0506</v>
      </c>
      <c r="AA87" s="25">
        <f t="shared" si="21"/>
        <v>1.10313</v>
      </c>
      <c r="AB87" s="25">
        <f t="shared" si="14"/>
        <v>1.1472552</v>
      </c>
      <c r="AC87" s="50">
        <f t="shared" si="23"/>
        <v>1.1931454080000001</v>
      </c>
    </row>
    <row r="88" spans="1:29" ht="12.75">
      <c r="A88" s="1">
        <v>83</v>
      </c>
      <c r="B88" s="10" t="s">
        <v>407</v>
      </c>
      <c r="C88" s="200">
        <f>VLOOKUP(MID(B88,1,8)-0,'palkat 1.12.2018'!$B$9:$G$223,3,FALSE)</f>
        <v>3148.6</v>
      </c>
      <c r="D88" s="200">
        <f>VLOOKUP(MID(B88,1,8)-0,'palkat 1.12.2018'!$B$9:$G$223,5,FALSE)</f>
        <v>3118.72</v>
      </c>
      <c r="E88" s="11">
        <f>IF('muut muuttujat'!$G$3=1,C88,KÄYTTÖTAULU!$B$13)</f>
        <v>3148.6</v>
      </c>
      <c r="F88" s="11">
        <f>IF('muut muuttujat'!$G$3=1,D88,KÄYTTÖTAULU!$B$13)</f>
        <v>3118.72</v>
      </c>
      <c r="G88" s="11">
        <f>KÄYTTÖTAULU!$F$6</f>
        <v>0</v>
      </c>
      <c r="H88" s="11">
        <f>KÄYTTÖTAULU!$F$6</f>
        <v>0</v>
      </c>
      <c r="I88" s="11">
        <f t="shared" si="16"/>
        <v>0</v>
      </c>
      <c r="J88" s="11">
        <f>H88*0.83</f>
        <v>0</v>
      </c>
      <c r="K88" s="1" t="e">
        <f>ROUND(I88/KÄYTTÖTAULU!$I$8,2)</f>
        <v>#DIV/0!</v>
      </c>
      <c r="L88" s="1" t="e">
        <f>ROUND(J88/KÄYTTÖTAULU!$I$8,2)</f>
        <v>#DIV/0!</v>
      </c>
      <c r="M88" s="1" t="e">
        <f t="shared" si="17"/>
        <v>#DIV/0!</v>
      </c>
      <c r="N88" s="1" t="e">
        <f t="shared" si="18"/>
        <v>#DIV/0!</v>
      </c>
      <c r="O88" s="11"/>
      <c r="P88" s="11"/>
      <c r="Q88" s="11"/>
      <c r="R88" s="24">
        <v>0</v>
      </c>
      <c r="S88" s="25">
        <v>6</v>
      </c>
      <c r="T88" s="25">
        <v>4</v>
      </c>
      <c r="U88" s="25">
        <v>6</v>
      </c>
      <c r="V88" s="25">
        <v>6</v>
      </c>
      <c r="W88" s="50">
        <v>6</v>
      </c>
      <c r="X88" s="25">
        <v>1</v>
      </c>
      <c r="Y88" s="25">
        <f t="shared" si="19"/>
        <v>1.06</v>
      </c>
      <c r="Z88" s="25">
        <f t="shared" si="20"/>
        <v>1.1024</v>
      </c>
      <c r="AA88" s="25">
        <f t="shared" si="21"/>
        <v>1.168544</v>
      </c>
      <c r="AB88" s="25">
        <f aca="true" t="shared" si="25" ref="AB88:AB134">(1+V88/100)*AA88</f>
        <v>1.23865664</v>
      </c>
      <c r="AC88" s="50">
        <f t="shared" si="23"/>
        <v>1.3129760384000002</v>
      </c>
    </row>
    <row r="89" spans="1:29" ht="12.75">
      <c r="A89" s="1">
        <v>84</v>
      </c>
      <c r="B89" s="10" t="s">
        <v>408</v>
      </c>
      <c r="C89" s="200">
        <f>VLOOKUP(MID(B89,1,8)-0,'palkat 1.12.2018'!$B$9:$G$223,3,FALSE)</f>
        <v>2741.83</v>
      </c>
      <c r="D89" s="200">
        <f>VLOOKUP(MID(B89,1,8)-0,'palkat 1.12.2018'!$B$9:$G$223,5,FALSE)</f>
        <v>2715.81</v>
      </c>
      <c r="E89" s="11">
        <f>IF('muut muuttujat'!$G$3=1,C89,KÄYTTÖTAULU!$B$13)</f>
        <v>2741.83</v>
      </c>
      <c r="F89" s="11">
        <f>IF('muut muuttujat'!$G$3=1,D89,KÄYTTÖTAULU!$B$13)</f>
        <v>2715.81</v>
      </c>
      <c r="G89" s="11">
        <f>KÄYTTÖTAULU!$F$6</f>
        <v>0</v>
      </c>
      <c r="H89" s="11">
        <f>KÄYTTÖTAULU!$F$6</f>
        <v>0</v>
      </c>
      <c r="I89" s="11">
        <f t="shared" si="16"/>
        <v>0</v>
      </c>
      <c r="J89" s="11">
        <f aca="true" t="shared" si="26" ref="J89:J117">H89*0.83</f>
        <v>0</v>
      </c>
      <c r="K89" s="1" t="e">
        <f>ROUND(I89/KÄYTTÖTAULU!$I$8,2)</f>
        <v>#DIV/0!</v>
      </c>
      <c r="L89" s="1" t="e">
        <f>ROUND(J89/KÄYTTÖTAULU!$I$8,2)</f>
        <v>#DIV/0!</v>
      </c>
      <c r="M89" s="1" t="e">
        <f t="shared" si="17"/>
        <v>#DIV/0!</v>
      </c>
      <c r="N89" s="1" t="e">
        <f t="shared" si="18"/>
        <v>#DIV/0!</v>
      </c>
      <c r="O89" s="11"/>
      <c r="P89" s="11"/>
      <c r="Q89" s="11"/>
      <c r="R89" s="24">
        <v>0</v>
      </c>
      <c r="S89" s="25">
        <v>6</v>
      </c>
      <c r="T89" s="25">
        <v>4</v>
      </c>
      <c r="U89" s="25">
        <v>6</v>
      </c>
      <c r="V89" s="25">
        <v>6</v>
      </c>
      <c r="W89" s="50">
        <v>6</v>
      </c>
      <c r="X89" s="25">
        <v>1</v>
      </c>
      <c r="Y89" s="25">
        <f t="shared" si="19"/>
        <v>1.06</v>
      </c>
      <c r="Z89" s="25">
        <f t="shared" si="20"/>
        <v>1.1024</v>
      </c>
      <c r="AA89" s="25">
        <f t="shared" si="21"/>
        <v>1.168544</v>
      </c>
      <c r="AB89" s="25">
        <f t="shared" si="25"/>
        <v>1.23865664</v>
      </c>
      <c r="AC89" s="50">
        <f t="shared" si="23"/>
        <v>1.3129760384000002</v>
      </c>
    </row>
    <row r="90" spans="1:29" ht="12.75">
      <c r="A90" s="1">
        <v>85</v>
      </c>
      <c r="B90" s="10" t="s">
        <v>409</v>
      </c>
      <c r="C90" s="200">
        <f>VLOOKUP(MID(B90,1,8)-0,'palkat 1.12.2018'!$B$9:$G$223,3,FALSE)</f>
        <v>2560.25</v>
      </c>
      <c r="D90" s="200">
        <f>VLOOKUP(MID(B90,1,8)-0,'palkat 1.12.2018'!$B$9:$G$223,5,FALSE)</f>
        <v>2536</v>
      </c>
      <c r="E90" s="11">
        <f>IF('muut muuttujat'!$G$3=1,C90,KÄYTTÖTAULU!$B$13)</f>
        <v>2560.25</v>
      </c>
      <c r="F90" s="11">
        <f>IF('muut muuttujat'!$G$3=1,D90,KÄYTTÖTAULU!$B$13)</f>
        <v>2536</v>
      </c>
      <c r="G90" s="11">
        <f>KÄYTTÖTAULU!$F$6</f>
        <v>0</v>
      </c>
      <c r="H90" s="11">
        <f>KÄYTTÖTAULU!$F$6</f>
        <v>0</v>
      </c>
      <c r="I90" s="11">
        <f t="shared" si="16"/>
        <v>0</v>
      </c>
      <c r="J90" s="11">
        <f t="shared" si="26"/>
        <v>0</v>
      </c>
      <c r="K90" s="1" t="e">
        <f>ROUND(I90/KÄYTTÖTAULU!$I$8,2)</f>
        <v>#DIV/0!</v>
      </c>
      <c r="L90" s="1" t="e">
        <f>ROUND(J90/KÄYTTÖTAULU!$I$8,2)</f>
        <v>#DIV/0!</v>
      </c>
      <c r="M90" s="1" t="e">
        <f t="shared" si="17"/>
        <v>#DIV/0!</v>
      </c>
      <c r="N90" s="1" t="e">
        <f t="shared" si="18"/>
        <v>#DIV/0!</v>
      </c>
      <c r="O90" s="11"/>
      <c r="P90" s="11"/>
      <c r="Q90" s="11"/>
      <c r="R90" s="24">
        <v>0</v>
      </c>
      <c r="S90" s="25">
        <v>6</v>
      </c>
      <c r="T90" s="25">
        <v>4</v>
      </c>
      <c r="U90" s="25">
        <v>6</v>
      </c>
      <c r="V90" s="25">
        <v>6</v>
      </c>
      <c r="W90" s="50">
        <v>6</v>
      </c>
      <c r="X90" s="25">
        <v>1</v>
      </c>
      <c r="Y90" s="25">
        <f t="shared" si="19"/>
        <v>1.06</v>
      </c>
      <c r="Z90" s="25">
        <f t="shared" si="20"/>
        <v>1.1024</v>
      </c>
      <c r="AA90" s="25">
        <f t="shared" si="21"/>
        <v>1.168544</v>
      </c>
      <c r="AB90" s="25">
        <f t="shared" si="25"/>
        <v>1.23865664</v>
      </c>
      <c r="AC90" s="50">
        <f t="shared" si="23"/>
        <v>1.3129760384000002</v>
      </c>
    </row>
    <row r="91" spans="1:29" ht="12.75">
      <c r="A91" s="1">
        <v>86</v>
      </c>
      <c r="B91" s="10" t="s">
        <v>410</v>
      </c>
      <c r="C91" s="200">
        <f>VLOOKUP(MID(B91,1,8)-0,'palkat 1.12.2018'!$B$9:$G$223,3,FALSE)</f>
        <v>2500.33</v>
      </c>
      <c r="D91" s="200">
        <f>VLOOKUP(MID(B91,1,8)-0,'palkat 1.12.2018'!$B$9:$G$223,5,FALSE)</f>
        <v>2476.58</v>
      </c>
      <c r="E91" s="11">
        <f>IF('muut muuttujat'!$G$3=1,C91,KÄYTTÖTAULU!$B$13)</f>
        <v>2500.33</v>
      </c>
      <c r="F91" s="11">
        <f>IF('muut muuttujat'!$G$3=1,D91,KÄYTTÖTAULU!$B$13)</f>
        <v>2476.58</v>
      </c>
      <c r="G91" s="11">
        <f>KÄYTTÖTAULU!$F$6</f>
        <v>0</v>
      </c>
      <c r="H91" s="11">
        <f>KÄYTTÖTAULU!$F$6</f>
        <v>0</v>
      </c>
      <c r="I91" s="11">
        <f t="shared" si="16"/>
        <v>0</v>
      </c>
      <c r="J91" s="11">
        <f t="shared" si="26"/>
        <v>0</v>
      </c>
      <c r="K91" s="1" t="e">
        <f>ROUND(I91/KÄYTTÖTAULU!$I$8,2)</f>
        <v>#DIV/0!</v>
      </c>
      <c r="L91" s="1" t="e">
        <f>ROUND(J91/KÄYTTÖTAULU!$I$8,2)</f>
        <v>#DIV/0!</v>
      </c>
      <c r="M91" s="1" t="e">
        <f t="shared" si="17"/>
        <v>#DIV/0!</v>
      </c>
      <c r="N91" s="1" t="e">
        <f t="shared" si="18"/>
        <v>#DIV/0!</v>
      </c>
      <c r="O91" s="11"/>
      <c r="P91" s="11"/>
      <c r="Q91" s="11"/>
      <c r="R91" s="24">
        <v>0</v>
      </c>
      <c r="S91" s="25">
        <v>6</v>
      </c>
      <c r="T91" s="25">
        <v>4</v>
      </c>
      <c r="U91" s="25">
        <v>6</v>
      </c>
      <c r="V91" s="25">
        <v>6</v>
      </c>
      <c r="W91" s="50">
        <v>6</v>
      </c>
      <c r="X91" s="25">
        <v>1</v>
      </c>
      <c r="Y91" s="25">
        <f t="shared" si="19"/>
        <v>1.06</v>
      </c>
      <c r="Z91" s="25">
        <f t="shared" si="20"/>
        <v>1.1024</v>
      </c>
      <c r="AA91" s="25">
        <f t="shared" si="21"/>
        <v>1.168544</v>
      </c>
      <c r="AB91" s="25">
        <f t="shared" si="25"/>
        <v>1.23865664</v>
      </c>
      <c r="AC91" s="50">
        <f t="shared" si="23"/>
        <v>1.3129760384000002</v>
      </c>
    </row>
    <row r="92" spans="1:29" ht="12.75">
      <c r="A92" s="1">
        <v>87</v>
      </c>
      <c r="B92" s="10" t="s">
        <v>411</v>
      </c>
      <c r="C92" s="200">
        <f>VLOOKUP(MID(B92,1,8)-0,'palkat 1.12.2018'!$B$9:$G$223,3,FALSE)</f>
        <v>2862.88</v>
      </c>
      <c r="D92" s="200">
        <f>VLOOKUP(MID(B92,1,8)-0,'palkat 1.12.2018'!$B$9:$G$223,5,FALSE)</f>
        <v>2835.72</v>
      </c>
      <c r="E92" s="11">
        <f>IF('muut muuttujat'!$G$3=1,C92,KÄYTTÖTAULU!$B$13)</f>
        <v>2862.88</v>
      </c>
      <c r="F92" s="11">
        <f>IF('muut muuttujat'!$G$3=1,D92,KÄYTTÖTAULU!$B$13)</f>
        <v>2835.72</v>
      </c>
      <c r="G92" s="11">
        <f>KÄYTTÖTAULU!$F$6</f>
        <v>0</v>
      </c>
      <c r="H92" s="11">
        <f>KÄYTTÖTAULU!$F$6</f>
        <v>0</v>
      </c>
      <c r="I92" s="11">
        <f t="shared" si="16"/>
        <v>0</v>
      </c>
      <c r="J92" s="11">
        <f t="shared" si="26"/>
        <v>0</v>
      </c>
      <c r="K92" s="1" t="e">
        <f>ROUND(I92/KÄYTTÖTAULU!$I$8,2)</f>
        <v>#DIV/0!</v>
      </c>
      <c r="L92" s="1" t="e">
        <f>ROUND(J92/KÄYTTÖTAULU!$I$8,2)</f>
        <v>#DIV/0!</v>
      </c>
      <c r="M92" s="1" t="e">
        <f t="shared" si="17"/>
        <v>#DIV/0!</v>
      </c>
      <c r="N92" s="1" t="e">
        <f t="shared" si="18"/>
        <v>#DIV/0!</v>
      </c>
      <c r="O92" s="11"/>
      <c r="P92" s="11"/>
      <c r="Q92" s="11"/>
      <c r="R92" s="24">
        <v>0</v>
      </c>
      <c r="S92" s="25">
        <v>6</v>
      </c>
      <c r="T92" s="25">
        <v>4</v>
      </c>
      <c r="U92" s="25">
        <v>6</v>
      </c>
      <c r="V92" s="25">
        <v>6</v>
      </c>
      <c r="W92" s="50">
        <v>6</v>
      </c>
      <c r="X92" s="25">
        <v>1</v>
      </c>
      <c r="Y92" s="25">
        <f t="shared" si="19"/>
        <v>1.06</v>
      </c>
      <c r="Z92" s="25">
        <f t="shared" si="20"/>
        <v>1.1024</v>
      </c>
      <c r="AA92" s="25">
        <f t="shared" si="21"/>
        <v>1.168544</v>
      </c>
      <c r="AB92" s="25">
        <f t="shared" si="25"/>
        <v>1.23865664</v>
      </c>
      <c r="AC92" s="50">
        <f t="shared" si="23"/>
        <v>1.3129760384000002</v>
      </c>
    </row>
    <row r="93" spans="1:29" ht="12.75">
      <c r="A93" s="1">
        <v>88</v>
      </c>
      <c r="B93" s="10" t="s">
        <v>412</v>
      </c>
      <c r="C93" s="200">
        <f>VLOOKUP(MID(B93,1,8)-0,'palkat 1.12.2018'!$B$9:$G$223,3,FALSE)</f>
        <v>2351.34</v>
      </c>
      <c r="D93" s="200">
        <f>VLOOKUP(MID(B93,1,8)-0,'palkat 1.12.2018'!$B$9:$G$223,5,FALSE)</f>
        <v>2329.05</v>
      </c>
      <c r="E93" s="11">
        <f>IF('muut muuttujat'!$G$3=1,C93,KÄYTTÖTAULU!$B$13)</f>
        <v>2351.34</v>
      </c>
      <c r="F93" s="11">
        <f>IF('muut muuttujat'!$G$3=1,D93,KÄYTTÖTAULU!$B$13)</f>
        <v>2329.05</v>
      </c>
      <c r="G93" s="11">
        <f>KÄYTTÖTAULU!$F$6</f>
        <v>0</v>
      </c>
      <c r="H93" s="11">
        <f>KÄYTTÖTAULU!$F$6</f>
        <v>0</v>
      </c>
      <c r="I93" s="11">
        <f t="shared" si="16"/>
        <v>0</v>
      </c>
      <c r="J93" s="11">
        <f t="shared" si="26"/>
        <v>0</v>
      </c>
      <c r="K93" s="1" t="e">
        <f>ROUND(I93/KÄYTTÖTAULU!$I$8,2)</f>
        <v>#DIV/0!</v>
      </c>
      <c r="L93" s="1" t="e">
        <f>ROUND(J93/KÄYTTÖTAULU!$I$8,2)</f>
        <v>#DIV/0!</v>
      </c>
      <c r="M93" s="1" t="e">
        <f t="shared" si="17"/>
        <v>#DIV/0!</v>
      </c>
      <c r="N93" s="1" t="e">
        <f t="shared" si="18"/>
        <v>#DIV/0!</v>
      </c>
      <c r="O93" s="11"/>
      <c r="P93" s="11"/>
      <c r="Q93" s="11"/>
      <c r="R93" s="24">
        <v>0</v>
      </c>
      <c r="S93" s="25">
        <v>6</v>
      </c>
      <c r="T93" s="25">
        <v>4</v>
      </c>
      <c r="U93" s="25">
        <v>6</v>
      </c>
      <c r="V93" s="25">
        <v>6</v>
      </c>
      <c r="W93" s="50">
        <v>6</v>
      </c>
      <c r="X93" s="25">
        <v>1</v>
      </c>
      <c r="Y93" s="25">
        <f t="shared" si="19"/>
        <v>1.06</v>
      </c>
      <c r="Z93" s="25">
        <f t="shared" si="20"/>
        <v>1.1024</v>
      </c>
      <c r="AA93" s="25">
        <f t="shared" si="21"/>
        <v>1.168544</v>
      </c>
      <c r="AB93" s="25">
        <f t="shared" si="25"/>
        <v>1.23865664</v>
      </c>
      <c r="AC93" s="50">
        <f t="shared" si="23"/>
        <v>1.3129760384000002</v>
      </c>
    </row>
    <row r="94" spans="1:29" ht="12.75">
      <c r="A94" s="1">
        <v>89</v>
      </c>
      <c r="B94" s="10" t="s">
        <v>413</v>
      </c>
      <c r="C94" s="200">
        <f>VLOOKUP(MID(B94,1,8)-0,'palkat 1.12.2018'!$B$9:$G$223,3,FALSE)</f>
        <v>3148.6</v>
      </c>
      <c r="D94" s="200">
        <f>VLOOKUP(MID(B94,1,8)-0,'palkat 1.12.2018'!$B$9:$G$223,5,FALSE)</f>
        <v>3118.72</v>
      </c>
      <c r="E94" s="11">
        <f>IF('muut muuttujat'!$G$3=1,C94,KÄYTTÖTAULU!$B$13)</f>
        <v>3148.6</v>
      </c>
      <c r="F94" s="11">
        <f>IF('muut muuttujat'!$G$3=1,D94,KÄYTTÖTAULU!$B$13)</f>
        <v>3118.72</v>
      </c>
      <c r="G94" s="11">
        <f>KÄYTTÖTAULU!$F$6</f>
        <v>0</v>
      </c>
      <c r="H94" s="11">
        <f>KÄYTTÖTAULU!$F$6</f>
        <v>0</v>
      </c>
      <c r="I94" s="11">
        <f t="shared" si="16"/>
        <v>0</v>
      </c>
      <c r="J94" s="11">
        <f t="shared" si="26"/>
        <v>0</v>
      </c>
      <c r="K94" s="1" t="e">
        <f>ROUND(I94/KÄYTTÖTAULU!$I$8,2)</f>
        <v>#DIV/0!</v>
      </c>
      <c r="L94" s="1" t="e">
        <f>ROUND(J94/KÄYTTÖTAULU!$I$8,2)</f>
        <v>#DIV/0!</v>
      </c>
      <c r="M94" s="1" t="e">
        <f t="shared" si="17"/>
        <v>#DIV/0!</v>
      </c>
      <c r="N94" s="1" t="e">
        <f t="shared" si="18"/>
        <v>#DIV/0!</v>
      </c>
      <c r="O94" s="11" t="e">
        <f>ROUND(E94*0.83/KÄYTTÖTAULU!$I$8*12/38,2)</f>
        <v>#DIV/0!</v>
      </c>
      <c r="P94" s="11" t="e">
        <f>ROUND(F94*0.83/KÄYTTÖTAULU!$I$8*12/38,2)</f>
        <v>#DIV/0!</v>
      </c>
      <c r="Q94" s="11"/>
      <c r="R94" s="24">
        <v>0</v>
      </c>
      <c r="S94" s="25">
        <v>6</v>
      </c>
      <c r="T94" s="25">
        <v>4</v>
      </c>
      <c r="U94" s="25">
        <v>6</v>
      </c>
      <c r="V94" s="25">
        <v>6</v>
      </c>
      <c r="W94" s="50">
        <v>6</v>
      </c>
      <c r="X94" s="25">
        <v>1</v>
      </c>
      <c r="Y94" s="25">
        <f t="shared" si="19"/>
        <v>1.06</v>
      </c>
      <c r="Z94" s="25">
        <f t="shared" si="20"/>
        <v>1.1024</v>
      </c>
      <c r="AA94" s="25">
        <f t="shared" si="21"/>
        <v>1.168544</v>
      </c>
      <c r="AB94" s="25">
        <f t="shared" si="25"/>
        <v>1.23865664</v>
      </c>
      <c r="AC94" s="50">
        <f t="shared" si="23"/>
        <v>1.3129760384000002</v>
      </c>
    </row>
    <row r="95" spans="1:29" ht="12.75">
      <c r="A95" s="1">
        <v>90</v>
      </c>
      <c r="B95" s="10" t="s">
        <v>414</v>
      </c>
      <c r="C95" s="200">
        <f>VLOOKUP(MID(B95,1,8)-0,'palkat 1.12.2018'!$B$9:$G$223,3,FALSE)</f>
        <v>2741.83</v>
      </c>
      <c r="D95" s="200">
        <f>VLOOKUP(MID(B95,1,8)-0,'palkat 1.12.2018'!$B$9:$G$223,5,FALSE)</f>
        <v>2715.81</v>
      </c>
      <c r="E95" s="11">
        <f>IF('muut muuttujat'!$G$3=1,C95,KÄYTTÖTAULU!$B$13)</f>
        <v>2741.83</v>
      </c>
      <c r="F95" s="11">
        <f>IF('muut muuttujat'!$G$3=1,D95,KÄYTTÖTAULU!$B$13)</f>
        <v>2715.81</v>
      </c>
      <c r="G95" s="11">
        <f>KÄYTTÖTAULU!$F$6</f>
        <v>0</v>
      </c>
      <c r="H95" s="11">
        <f>KÄYTTÖTAULU!$F$6</f>
        <v>0</v>
      </c>
      <c r="I95" s="11">
        <f t="shared" si="16"/>
        <v>0</v>
      </c>
      <c r="J95" s="11">
        <f t="shared" si="26"/>
        <v>0</v>
      </c>
      <c r="K95" s="1" t="e">
        <f>ROUND(I95/KÄYTTÖTAULU!$I$8,2)</f>
        <v>#DIV/0!</v>
      </c>
      <c r="L95" s="1" t="e">
        <f>ROUND(J95/KÄYTTÖTAULU!$I$8,2)</f>
        <v>#DIV/0!</v>
      </c>
      <c r="M95" s="1" t="e">
        <f t="shared" si="17"/>
        <v>#DIV/0!</v>
      </c>
      <c r="N95" s="1" t="e">
        <f t="shared" si="18"/>
        <v>#DIV/0!</v>
      </c>
      <c r="O95" s="11" t="e">
        <f>ROUND(E95*0.83/KÄYTTÖTAULU!$I$8*12/38,2)</f>
        <v>#DIV/0!</v>
      </c>
      <c r="P95" s="11" t="e">
        <f>ROUND(F95*0.83/KÄYTTÖTAULU!$I$8*12/38,2)</f>
        <v>#DIV/0!</v>
      </c>
      <c r="Q95" s="11"/>
      <c r="R95" s="24">
        <v>0</v>
      </c>
      <c r="S95" s="25">
        <v>6</v>
      </c>
      <c r="T95" s="25">
        <v>4</v>
      </c>
      <c r="U95" s="25">
        <v>6</v>
      </c>
      <c r="V95" s="25">
        <v>6</v>
      </c>
      <c r="W95" s="50">
        <v>6</v>
      </c>
      <c r="X95" s="25">
        <v>1</v>
      </c>
      <c r="Y95" s="25">
        <f t="shared" si="19"/>
        <v>1.06</v>
      </c>
      <c r="Z95" s="25">
        <f t="shared" si="20"/>
        <v>1.1024</v>
      </c>
      <c r="AA95" s="25">
        <f t="shared" si="21"/>
        <v>1.168544</v>
      </c>
      <c r="AB95" s="25">
        <f t="shared" si="25"/>
        <v>1.23865664</v>
      </c>
      <c r="AC95" s="50">
        <f t="shared" si="23"/>
        <v>1.3129760384000002</v>
      </c>
    </row>
    <row r="96" spans="1:29" ht="12.75">
      <c r="A96" s="1">
        <v>91</v>
      </c>
      <c r="B96" s="10" t="s">
        <v>415</v>
      </c>
      <c r="C96" s="200">
        <f>VLOOKUP(MID(B96,1,8)-0,'palkat 1.12.2018'!$B$9:$G$223,3,FALSE)</f>
        <v>2560.25</v>
      </c>
      <c r="D96" s="200">
        <f>VLOOKUP(MID(B96,1,8)-0,'palkat 1.12.2018'!$B$9:$G$223,5,FALSE)</f>
        <v>2536</v>
      </c>
      <c r="E96" s="11">
        <f>IF('muut muuttujat'!$G$3=1,C96,KÄYTTÖTAULU!$B$13)</f>
        <v>2560.25</v>
      </c>
      <c r="F96" s="11">
        <f>IF('muut muuttujat'!$G$3=1,D96,KÄYTTÖTAULU!$B$13)</f>
        <v>2536</v>
      </c>
      <c r="G96" s="11">
        <f>KÄYTTÖTAULU!$F$6</f>
        <v>0</v>
      </c>
      <c r="H96" s="11">
        <f>KÄYTTÖTAULU!$F$6</f>
        <v>0</v>
      </c>
      <c r="I96" s="11">
        <f t="shared" si="16"/>
        <v>0</v>
      </c>
      <c r="J96" s="11">
        <f t="shared" si="26"/>
        <v>0</v>
      </c>
      <c r="K96" s="1" t="e">
        <f>ROUND(I96/KÄYTTÖTAULU!$I$8,2)</f>
        <v>#DIV/0!</v>
      </c>
      <c r="L96" s="1" t="e">
        <f>ROUND(J96/KÄYTTÖTAULU!$I$8,2)</f>
        <v>#DIV/0!</v>
      </c>
      <c r="M96" s="1" t="e">
        <f t="shared" si="17"/>
        <v>#DIV/0!</v>
      </c>
      <c r="N96" s="1" t="e">
        <f t="shared" si="18"/>
        <v>#DIV/0!</v>
      </c>
      <c r="O96" s="11" t="e">
        <f>ROUND(E96*0.83/KÄYTTÖTAULU!$I$8*12/38,2)</f>
        <v>#DIV/0!</v>
      </c>
      <c r="P96" s="11" t="e">
        <f>ROUND(F96*0.83/KÄYTTÖTAULU!$I$8*12/38,2)</f>
        <v>#DIV/0!</v>
      </c>
      <c r="Q96" s="11"/>
      <c r="R96" s="24">
        <v>0</v>
      </c>
      <c r="S96" s="25">
        <v>6</v>
      </c>
      <c r="T96" s="25">
        <v>4</v>
      </c>
      <c r="U96" s="25">
        <v>6</v>
      </c>
      <c r="V96" s="25">
        <v>6</v>
      </c>
      <c r="W96" s="50">
        <v>6</v>
      </c>
      <c r="X96" s="25">
        <v>1</v>
      </c>
      <c r="Y96" s="25">
        <f t="shared" si="19"/>
        <v>1.06</v>
      </c>
      <c r="Z96" s="25">
        <f t="shared" si="20"/>
        <v>1.1024</v>
      </c>
      <c r="AA96" s="25">
        <f t="shared" si="21"/>
        <v>1.168544</v>
      </c>
      <c r="AB96" s="25">
        <f t="shared" si="25"/>
        <v>1.23865664</v>
      </c>
      <c r="AC96" s="50">
        <f t="shared" si="23"/>
        <v>1.3129760384000002</v>
      </c>
    </row>
    <row r="97" spans="1:29" ht="12.75">
      <c r="A97" s="1">
        <v>92</v>
      </c>
      <c r="B97" s="10" t="s">
        <v>416</v>
      </c>
      <c r="C97" s="200">
        <f>VLOOKUP(MID(B97,1,8)-0,'palkat 1.12.2018'!$B$9:$G$223,3,FALSE)</f>
        <v>2500.33</v>
      </c>
      <c r="D97" s="200">
        <f>VLOOKUP(MID(B97,1,8)-0,'palkat 1.12.2018'!$B$9:$G$223,5,FALSE)</f>
        <v>2476.58</v>
      </c>
      <c r="E97" s="11">
        <f>IF('muut muuttujat'!$G$3=1,C97,KÄYTTÖTAULU!$B$13)</f>
        <v>2500.33</v>
      </c>
      <c r="F97" s="11">
        <f>IF('muut muuttujat'!$G$3=1,D97,KÄYTTÖTAULU!$B$13)</f>
        <v>2476.58</v>
      </c>
      <c r="G97" s="11">
        <f>KÄYTTÖTAULU!$F$6</f>
        <v>0</v>
      </c>
      <c r="H97" s="11">
        <f>KÄYTTÖTAULU!$F$6</f>
        <v>0</v>
      </c>
      <c r="I97" s="11">
        <f t="shared" si="16"/>
        <v>0</v>
      </c>
      <c r="J97" s="11">
        <f t="shared" si="26"/>
        <v>0</v>
      </c>
      <c r="K97" s="1" t="e">
        <f>ROUND(I97/KÄYTTÖTAULU!$I$8,2)</f>
        <v>#DIV/0!</v>
      </c>
      <c r="L97" s="1" t="e">
        <f>ROUND(J97/KÄYTTÖTAULU!$I$8,2)</f>
        <v>#DIV/0!</v>
      </c>
      <c r="M97" s="1" t="e">
        <f t="shared" si="17"/>
        <v>#DIV/0!</v>
      </c>
      <c r="N97" s="1" t="e">
        <f t="shared" si="18"/>
        <v>#DIV/0!</v>
      </c>
      <c r="O97" s="11" t="e">
        <f>ROUND(E97*0.83/KÄYTTÖTAULU!$I$8*12/38,2)</f>
        <v>#DIV/0!</v>
      </c>
      <c r="P97" s="11" t="e">
        <f>ROUND(F97*0.83/KÄYTTÖTAULU!$I$8*12/38,2)</f>
        <v>#DIV/0!</v>
      </c>
      <c r="Q97" s="11"/>
      <c r="R97" s="24">
        <v>0</v>
      </c>
      <c r="S97" s="25">
        <v>6</v>
      </c>
      <c r="T97" s="25">
        <v>4</v>
      </c>
      <c r="U97" s="25">
        <v>6</v>
      </c>
      <c r="V97" s="25">
        <v>6</v>
      </c>
      <c r="W97" s="50">
        <v>6</v>
      </c>
      <c r="X97" s="25">
        <v>1</v>
      </c>
      <c r="Y97" s="25">
        <f t="shared" si="19"/>
        <v>1.06</v>
      </c>
      <c r="Z97" s="25">
        <f t="shared" si="20"/>
        <v>1.1024</v>
      </c>
      <c r="AA97" s="25">
        <f t="shared" si="21"/>
        <v>1.168544</v>
      </c>
      <c r="AB97" s="25">
        <f t="shared" si="25"/>
        <v>1.23865664</v>
      </c>
      <c r="AC97" s="50">
        <f t="shared" si="23"/>
        <v>1.3129760384000002</v>
      </c>
    </row>
    <row r="98" spans="1:29" ht="12.75">
      <c r="A98" s="1">
        <v>93</v>
      </c>
      <c r="B98" s="10" t="s">
        <v>417</v>
      </c>
      <c r="C98" s="200">
        <f>VLOOKUP(MID(B98,1,8)-0,'palkat 1.12.2018'!$B$9:$G$223,3,FALSE)</f>
        <v>2862.88</v>
      </c>
      <c r="D98" s="200">
        <f>VLOOKUP(MID(B98,1,8)-0,'palkat 1.12.2018'!$B$9:$G$223,5,FALSE)</f>
        <v>2835.72</v>
      </c>
      <c r="E98" s="11">
        <f>IF('muut muuttujat'!$G$3=1,C98,KÄYTTÖTAULU!$B$13)</f>
        <v>2862.88</v>
      </c>
      <c r="F98" s="11">
        <f>IF('muut muuttujat'!$G$3=1,D98,KÄYTTÖTAULU!$B$13)</f>
        <v>2835.72</v>
      </c>
      <c r="G98" s="11">
        <f>KÄYTTÖTAULU!$F$6</f>
        <v>0</v>
      </c>
      <c r="H98" s="11">
        <f>KÄYTTÖTAULU!$F$6</f>
        <v>0</v>
      </c>
      <c r="I98" s="11">
        <f t="shared" si="16"/>
        <v>0</v>
      </c>
      <c r="J98" s="11">
        <f t="shared" si="26"/>
        <v>0</v>
      </c>
      <c r="K98" s="1" t="e">
        <f>ROUND(I98/KÄYTTÖTAULU!$I$8,2)</f>
        <v>#DIV/0!</v>
      </c>
      <c r="L98" s="1" t="e">
        <f>ROUND(J98/KÄYTTÖTAULU!$I$8,2)</f>
        <v>#DIV/0!</v>
      </c>
      <c r="M98" s="1" t="e">
        <f t="shared" si="17"/>
        <v>#DIV/0!</v>
      </c>
      <c r="N98" s="1" t="e">
        <f t="shared" si="18"/>
        <v>#DIV/0!</v>
      </c>
      <c r="O98" s="11" t="e">
        <f>ROUND(E98*0.83/KÄYTTÖTAULU!$I$8*12/38,2)</f>
        <v>#DIV/0!</v>
      </c>
      <c r="P98" s="11" t="e">
        <f>ROUND(F98*0.83/KÄYTTÖTAULU!$I$8*12/38,2)</f>
        <v>#DIV/0!</v>
      </c>
      <c r="Q98" s="11"/>
      <c r="R98" s="24">
        <v>0</v>
      </c>
      <c r="S98" s="25">
        <v>6</v>
      </c>
      <c r="T98" s="25">
        <v>4</v>
      </c>
      <c r="U98" s="25">
        <v>6</v>
      </c>
      <c r="V98" s="25">
        <v>6</v>
      </c>
      <c r="W98" s="50">
        <v>6</v>
      </c>
      <c r="X98" s="25">
        <v>1</v>
      </c>
      <c r="Y98" s="25">
        <f t="shared" si="19"/>
        <v>1.06</v>
      </c>
      <c r="Z98" s="25">
        <f t="shared" si="20"/>
        <v>1.1024</v>
      </c>
      <c r="AA98" s="25">
        <f t="shared" si="21"/>
        <v>1.168544</v>
      </c>
      <c r="AB98" s="25">
        <f t="shared" si="25"/>
        <v>1.23865664</v>
      </c>
      <c r="AC98" s="50">
        <f t="shared" si="23"/>
        <v>1.3129760384000002</v>
      </c>
    </row>
    <row r="99" spans="1:29" ht="12.75">
      <c r="A99" s="1">
        <v>94</v>
      </c>
      <c r="B99" s="10" t="s">
        <v>418</v>
      </c>
      <c r="C99" s="200">
        <f>VLOOKUP(MID(B99,1,8)-0,'palkat 1.12.2018'!$B$9:$G$223,3,FALSE)</f>
        <v>2351.34</v>
      </c>
      <c r="D99" s="200">
        <f>VLOOKUP(MID(B99,1,8)-0,'palkat 1.12.2018'!$B$9:$G$223,5,FALSE)</f>
        <v>2329.05</v>
      </c>
      <c r="E99" s="11">
        <f>IF('muut muuttujat'!$G$3=1,C99,KÄYTTÖTAULU!$B$13)</f>
        <v>2351.34</v>
      </c>
      <c r="F99" s="11">
        <f>IF('muut muuttujat'!$G$3=1,D99,KÄYTTÖTAULU!$B$13)</f>
        <v>2329.05</v>
      </c>
      <c r="G99" s="11">
        <f>KÄYTTÖTAULU!$F$6</f>
        <v>0</v>
      </c>
      <c r="H99" s="11">
        <f>KÄYTTÖTAULU!$F$6</f>
        <v>0</v>
      </c>
      <c r="I99" s="11">
        <f t="shared" si="16"/>
        <v>0</v>
      </c>
      <c r="J99" s="11">
        <f t="shared" si="26"/>
        <v>0</v>
      </c>
      <c r="K99" s="1" t="e">
        <f>ROUND(I99/KÄYTTÖTAULU!$I$8,2)</f>
        <v>#DIV/0!</v>
      </c>
      <c r="L99" s="1" t="e">
        <f>ROUND(J99/KÄYTTÖTAULU!$I$8,2)</f>
        <v>#DIV/0!</v>
      </c>
      <c r="M99" s="1" t="e">
        <f t="shared" si="17"/>
        <v>#DIV/0!</v>
      </c>
      <c r="N99" s="1" t="e">
        <f t="shared" si="18"/>
        <v>#DIV/0!</v>
      </c>
      <c r="O99" s="11" t="e">
        <f>ROUND(E99*0.83/KÄYTTÖTAULU!$I$8*12/38,2)</f>
        <v>#DIV/0!</v>
      </c>
      <c r="P99" s="11" t="e">
        <f>ROUND(F99*0.83/KÄYTTÖTAULU!$I$8*12/38,2)</f>
        <v>#DIV/0!</v>
      </c>
      <c r="Q99" s="11"/>
      <c r="R99" s="24">
        <v>0</v>
      </c>
      <c r="S99" s="25">
        <v>6</v>
      </c>
      <c r="T99" s="25">
        <v>4</v>
      </c>
      <c r="U99" s="25">
        <v>6</v>
      </c>
      <c r="V99" s="25">
        <v>6</v>
      </c>
      <c r="W99" s="50">
        <v>6</v>
      </c>
      <c r="X99" s="25">
        <v>1</v>
      </c>
      <c r="Y99" s="25">
        <f t="shared" si="19"/>
        <v>1.06</v>
      </c>
      <c r="Z99" s="25">
        <f t="shared" si="20"/>
        <v>1.1024</v>
      </c>
      <c r="AA99" s="25">
        <f t="shared" si="21"/>
        <v>1.168544</v>
      </c>
      <c r="AB99" s="25">
        <f t="shared" si="25"/>
        <v>1.23865664</v>
      </c>
      <c r="AC99" s="50">
        <f t="shared" si="23"/>
        <v>1.3129760384000002</v>
      </c>
    </row>
    <row r="100" spans="1:29" ht="12.75">
      <c r="A100" s="1">
        <v>95</v>
      </c>
      <c r="B100" s="10" t="s">
        <v>419</v>
      </c>
      <c r="C100" s="200">
        <f>VLOOKUP(MID(B100,1,8)-0,'palkat 1.12.2018'!$B$9:$G$223,3,FALSE)</f>
        <v>2979.48</v>
      </c>
      <c r="D100" s="200">
        <f>VLOOKUP(MID(B100,1,8)-0,'palkat 1.12.2018'!$B$9:$G$223,5,FALSE)</f>
        <v>2951.19</v>
      </c>
      <c r="E100" s="11">
        <f>IF('muut muuttujat'!$G$3=1,C100,KÄYTTÖTAULU!$B$13)</f>
        <v>2979.48</v>
      </c>
      <c r="F100" s="11">
        <f>IF('muut muuttujat'!$G$3=1,D100,KÄYTTÖTAULU!$B$13)</f>
        <v>2951.19</v>
      </c>
      <c r="G100" s="11">
        <f>KÄYTTÖTAULU!$F$6</f>
        <v>0</v>
      </c>
      <c r="H100" s="11">
        <f>KÄYTTÖTAULU!$F$6</f>
        <v>0</v>
      </c>
      <c r="I100" s="11">
        <f t="shared" si="16"/>
        <v>0</v>
      </c>
      <c r="J100" s="11">
        <f t="shared" si="26"/>
        <v>0</v>
      </c>
      <c r="K100" s="1" t="e">
        <f>ROUND(I100/KÄYTTÖTAULU!$I$8,2)</f>
        <v>#DIV/0!</v>
      </c>
      <c r="L100" s="1" t="e">
        <f>ROUND(J100/KÄYTTÖTAULU!$I$8,2)</f>
        <v>#DIV/0!</v>
      </c>
      <c r="M100" s="1" t="e">
        <f t="shared" si="17"/>
        <v>#DIV/0!</v>
      </c>
      <c r="N100" s="1" t="e">
        <f t="shared" si="18"/>
        <v>#DIV/0!</v>
      </c>
      <c r="O100" s="11"/>
      <c r="P100" s="11"/>
      <c r="Q100" s="11"/>
      <c r="R100" s="24">
        <v>0</v>
      </c>
      <c r="S100" s="25">
        <v>6</v>
      </c>
      <c r="T100" s="25">
        <v>4</v>
      </c>
      <c r="U100" s="25">
        <v>6</v>
      </c>
      <c r="V100" s="25">
        <v>6</v>
      </c>
      <c r="W100" s="50">
        <v>6</v>
      </c>
      <c r="X100" s="25">
        <v>1</v>
      </c>
      <c r="Y100" s="25">
        <f t="shared" si="19"/>
        <v>1.06</v>
      </c>
      <c r="Z100" s="25">
        <f t="shared" si="20"/>
        <v>1.1024</v>
      </c>
      <c r="AA100" s="25">
        <f t="shared" si="21"/>
        <v>1.168544</v>
      </c>
      <c r="AB100" s="25">
        <f t="shared" si="25"/>
        <v>1.23865664</v>
      </c>
      <c r="AC100" s="50">
        <f t="shared" si="23"/>
        <v>1.3129760384000002</v>
      </c>
    </row>
    <row r="101" spans="1:29" ht="12.75">
      <c r="A101" s="1">
        <v>96</v>
      </c>
      <c r="B101" s="10" t="s">
        <v>420</v>
      </c>
      <c r="C101" s="200">
        <f>VLOOKUP(MID(B101,1,8)-0,'palkat 1.12.2018'!$B$9:$G$223,3,FALSE)</f>
        <v>2642.51</v>
      </c>
      <c r="D101" s="200">
        <f>VLOOKUP(MID(B101,1,8)-0,'palkat 1.12.2018'!$B$9:$G$223,5,FALSE)</f>
        <v>2617.46</v>
      </c>
      <c r="E101" s="11">
        <f>IF('muut muuttujat'!$G$3=1,C101,KÄYTTÖTAULU!$B$13)</f>
        <v>2642.51</v>
      </c>
      <c r="F101" s="11">
        <f>IF('muut muuttujat'!$G$3=1,D101,KÄYTTÖTAULU!$B$13)</f>
        <v>2617.46</v>
      </c>
      <c r="G101" s="11">
        <f>KÄYTTÖTAULU!$F$6</f>
        <v>0</v>
      </c>
      <c r="H101" s="11">
        <f>KÄYTTÖTAULU!$F$6</f>
        <v>0</v>
      </c>
      <c r="I101" s="11">
        <f t="shared" si="16"/>
        <v>0</v>
      </c>
      <c r="J101" s="11">
        <f t="shared" si="26"/>
        <v>0</v>
      </c>
      <c r="K101" s="1" t="e">
        <f>ROUND(I101/KÄYTTÖTAULU!$I$8,2)</f>
        <v>#DIV/0!</v>
      </c>
      <c r="L101" s="1" t="e">
        <f>ROUND(J101/KÄYTTÖTAULU!$I$8,2)</f>
        <v>#DIV/0!</v>
      </c>
      <c r="M101" s="1" t="e">
        <f t="shared" si="17"/>
        <v>#DIV/0!</v>
      </c>
      <c r="N101" s="1" t="e">
        <f t="shared" si="18"/>
        <v>#DIV/0!</v>
      </c>
      <c r="O101" s="11"/>
      <c r="P101" s="11"/>
      <c r="Q101" s="11"/>
      <c r="R101" s="24">
        <v>0</v>
      </c>
      <c r="S101" s="25">
        <v>6</v>
      </c>
      <c r="T101" s="25">
        <v>4</v>
      </c>
      <c r="U101" s="25">
        <v>6</v>
      </c>
      <c r="V101" s="25">
        <v>6</v>
      </c>
      <c r="W101" s="50">
        <v>6</v>
      </c>
      <c r="X101" s="25">
        <v>1</v>
      </c>
      <c r="Y101" s="25">
        <f t="shared" si="19"/>
        <v>1.06</v>
      </c>
      <c r="Z101" s="25">
        <f t="shared" si="20"/>
        <v>1.1024</v>
      </c>
      <c r="AA101" s="25">
        <f t="shared" si="21"/>
        <v>1.168544</v>
      </c>
      <c r="AB101" s="25">
        <f t="shared" si="25"/>
        <v>1.23865664</v>
      </c>
      <c r="AC101" s="50">
        <f t="shared" si="23"/>
        <v>1.3129760384000002</v>
      </c>
    </row>
    <row r="102" spans="1:29" ht="12.75">
      <c r="A102" s="1">
        <v>97</v>
      </c>
      <c r="B102" s="10" t="s">
        <v>421</v>
      </c>
      <c r="C102" s="200">
        <f>VLOOKUP(MID(B102,1,8)-0,'palkat 1.12.2018'!$B$9:$G$223,3,FALSE)</f>
        <v>2374.48</v>
      </c>
      <c r="D102" s="200">
        <f>VLOOKUP(MID(B102,1,8)-0,'palkat 1.12.2018'!$B$9:$G$223,5,FALSE)</f>
        <v>2351.94</v>
      </c>
      <c r="E102" s="11">
        <f>IF('muut muuttujat'!$G$3=1,C102,KÄYTTÖTAULU!$B$13)</f>
        <v>2374.48</v>
      </c>
      <c r="F102" s="11">
        <f>IF('muut muuttujat'!$G$3=1,D102,KÄYTTÖTAULU!$B$13)</f>
        <v>2351.94</v>
      </c>
      <c r="G102" s="11">
        <f>KÄYTTÖTAULU!$F$6</f>
        <v>0</v>
      </c>
      <c r="H102" s="11">
        <f>KÄYTTÖTAULU!$F$6</f>
        <v>0</v>
      </c>
      <c r="I102" s="11">
        <f t="shared" si="16"/>
        <v>0</v>
      </c>
      <c r="J102" s="11">
        <f t="shared" si="26"/>
        <v>0</v>
      </c>
      <c r="K102" s="1" t="e">
        <f>ROUND(I102/KÄYTTÖTAULU!$I$8,2)</f>
        <v>#DIV/0!</v>
      </c>
      <c r="L102" s="1" t="e">
        <f>ROUND(J102/KÄYTTÖTAULU!$I$8,2)</f>
        <v>#DIV/0!</v>
      </c>
      <c r="M102" s="1" t="e">
        <f t="shared" si="17"/>
        <v>#DIV/0!</v>
      </c>
      <c r="N102" s="1" t="e">
        <f t="shared" si="18"/>
        <v>#DIV/0!</v>
      </c>
      <c r="O102" s="11"/>
      <c r="P102" s="11"/>
      <c r="Q102" s="11"/>
      <c r="R102" s="24">
        <v>0</v>
      </c>
      <c r="S102" s="25">
        <v>6</v>
      </c>
      <c r="T102" s="25">
        <v>4</v>
      </c>
      <c r="U102" s="25">
        <v>6</v>
      </c>
      <c r="V102" s="25">
        <v>6</v>
      </c>
      <c r="W102" s="50">
        <v>6</v>
      </c>
      <c r="X102" s="25">
        <v>1</v>
      </c>
      <c r="Y102" s="25">
        <f t="shared" si="19"/>
        <v>1.06</v>
      </c>
      <c r="Z102" s="25">
        <f t="shared" si="20"/>
        <v>1.1024</v>
      </c>
      <c r="AA102" s="25">
        <f t="shared" si="21"/>
        <v>1.168544</v>
      </c>
      <c r="AB102" s="25">
        <f t="shared" si="25"/>
        <v>1.23865664</v>
      </c>
      <c r="AC102" s="50">
        <f t="shared" si="23"/>
        <v>1.3129760384000002</v>
      </c>
    </row>
    <row r="103" spans="1:29" ht="12.75">
      <c r="A103" s="1">
        <v>98</v>
      </c>
      <c r="B103" s="10" t="s">
        <v>422</v>
      </c>
      <c r="C103" s="200">
        <f>VLOOKUP(MID(B103,1,8)-0,'palkat 1.12.2018'!$B$9:$G$223,3,FALSE)</f>
        <v>2979.48</v>
      </c>
      <c r="D103" s="200">
        <f>VLOOKUP(MID(B103,1,8)-0,'palkat 1.12.2018'!$B$9:$G$223,5,FALSE)</f>
        <v>2951.19</v>
      </c>
      <c r="E103" s="11">
        <f>IF('muut muuttujat'!$G$3=1,C103,KÄYTTÖTAULU!$B$13)</f>
        <v>2979.48</v>
      </c>
      <c r="F103" s="11">
        <f>IF('muut muuttujat'!$G$3=1,D103,KÄYTTÖTAULU!$B$13)</f>
        <v>2951.19</v>
      </c>
      <c r="G103" s="11">
        <f>KÄYTTÖTAULU!$F$6</f>
        <v>0</v>
      </c>
      <c r="H103" s="11">
        <f>KÄYTTÖTAULU!$F$6</f>
        <v>0</v>
      </c>
      <c r="I103" s="11">
        <f t="shared" si="16"/>
        <v>0</v>
      </c>
      <c r="J103" s="11">
        <f t="shared" si="26"/>
        <v>0</v>
      </c>
      <c r="K103" s="1" t="e">
        <f>ROUND(I103/KÄYTTÖTAULU!$I$8,2)</f>
        <v>#DIV/0!</v>
      </c>
      <c r="L103" s="1" t="e">
        <f>ROUND(J103/KÄYTTÖTAULU!$I$8,2)</f>
        <v>#DIV/0!</v>
      </c>
      <c r="M103" s="1" t="e">
        <f t="shared" si="17"/>
        <v>#DIV/0!</v>
      </c>
      <c r="N103" s="1" t="e">
        <f t="shared" si="18"/>
        <v>#DIV/0!</v>
      </c>
      <c r="O103" s="11" t="e">
        <f>ROUND(E103*0.83/KÄYTTÖTAULU!$I$8*12/38,2)</f>
        <v>#DIV/0!</v>
      </c>
      <c r="P103" s="11" t="e">
        <f>ROUND(F103*0.83/KÄYTTÖTAULU!$I$8*12/38,2)</f>
        <v>#DIV/0!</v>
      </c>
      <c r="Q103" s="11"/>
      <c r="R103" s="24">
        <v>0</v>
      </c>
      <c r="S103" s="25">
        <v>6</v>
      </c>
      <c r="T103" s="25">
        <v>4</v>
      </c>
      <c r="U103" s="25">
        <v>6</v>
      </c>
      <c r="V103" s="25">
        <v>6</v>
      </c>
      <c r="W103" s="50">
        <v>6</v>
      </c>
      <c r="X103" s="25">
        <v>1</v>
      </c>
      <c r="Y103" s="25">
        <f t="shared" si="19"/>
        <v>1.06</v>
      </c>
      <c r="Z103" s="25">
        <f t="shared" si="20"/>
        <v>1.1024</v>
      </c>
      <c r="AA103" s="25">
        <f t="shared" si="21"/>
        <v>1.168544</v>
      </c>
      <c r="AB103" s="25">
        <f t="shared" si="25"/>
        <v>1.23865664</v>
      </c>
      <c r="AC103" s="50">
        <f t="shared" si="23"/>
        <v>1.3129760384000002</v>
      </c>
    </row>
    <row r="104" spans="1:29" ht="12.75">
      <c r="A104" s="1">
        <v>99</v>
      </c>
      <c r="B104" s="10" t="s">
        <v>423</v>
      </c>
      <c r="C104" s="200">
        <f>VLOOKUP(MID(B104,1,8)-0,'palkat 1.12.2018'!$B$9:$G$223,3,FALSE)</f>
        <v>2642.51</v>
      </c>
      <c r="D104" s="200">
        <f>VLOOKUP(MID(B104,1,8)-0,'palkat 1.12.2018'!$B$9:$G$223,5,FALSE)</f>
        <v>2617.46</v>
      </c>
      <c r="E104" s="11">
        <f>IF('muut muuttujat'!$G$3=1,C104,KÄYTTÖTAULU!$B$13)</f>
        <v>2642.51</v>
      </c>
      <c r="F104" s="11">
        <f>IF('muut muuttujat'!$G$3=1,D104,KÄYTTÖTAULU!$B$13)</f>
        <v>2617.46</v>
      </c>
      <c r="G104" s="11">
        <f>KÄYTTÖTAULU!$F$6</f>
        <v>0</v>
      </c>
      <c r="H104" s="11">
        <f>KÄYTTÖTAULU!$F$6</f>
        <v>0</v>
      </c>
      <c r="I104" s="11">
        <f t="shared" si="16"/>
        <v>0</v>
      </c>
      <c r="J104" s="11">
        <f t="shared" si="26"/>
        <v>0</v>
      </c>
      <c r="K104" s="1" t="e">
        <f>ROUND(I104/KÄYTTÖTAULU!$I$8,2)</f>
        <v>#DIV/0!</v>
      </c>
      <c r="L104" s="1" t="e">
        <f>ROUND(J104/KÄYTTÖTAULU!$I$8,2)</f>
        <v>#DIV/0!</v>
      </c>
      <c r="M104" s="1" t="e">
        <f t="shared" si="17"/>
        <v>#DIV/0!</v>
      </c>
      <c r="N104" s="1" t="e">
        <f t="shared" si="18"/>
        <v>#DIV/0!</v>
      </c>
      <c r="O104" s="11" t="e">
        <f>ROUND(E104*0.83/KÄYTTÖTAULU!$I$8*12/38,2)</f>
        <v>#DIV/0!</v>
      </c>
      <c r="P104" s="11" t="e">
        <f>ROUND(F104*0.83/KÄYTTÖTAULU!$I$8*12/38,2)</f>
        <v>#DIV/0!</v>
      </c>
      <c r="Q104" s="11"/>
      <c r="R104" s="24">
        <v>0</v>
      </c>
      <c r="S104" s="25">
        <v>6</v>
      </c>
      <c r="T104" s="25">
        <v>4</v>
      </c>
      <c r="U104" s="25">
        <v>6</v>
      </c>
      <c r="V104" s="25">
        <v>6</v>
      </c>
      <c r="W104" s="50">
        <v>6</v>
      </c>
      <c r="X104" s="25">
        <v>1</v>
      </c>
      <c r="Y104" s="25">
        <f t="shared" si="19"/>
        <v>1.06</v>
      </c>
      <c r="Z104" s="25">
        <f t="shared" si="20"/>
        <v>1.1024</v>
      </c>
      <c r="AA104" s="25">
        <f t="shared" si="21"/>
        <v>1.168544</v>
      </c>
      <c r="AB104" s="25">
        <f t="shared" si="25"/>
        <v>1.23865664</v>
      </c>
      <c r="AC104" s="50">
        <f t="shared" si="23"/>
        <v>1.3129760384000002</v>
      </c>
    </row>
    <row r="105" spans="1:29" ht="12.75">
      <c r="A105" s="1">
        <v>100</v>
      </c>
      <c r="B105" s="10" t="s">
        <v>424</v>
      </c>
      <c r="C105" s="200">
        <f>VLOOKUP(MID(B105,1,8)-0,'palkat 1.12.2018'!$B$9:$G$223,3,FALSE)</f>
        <v>2374.48</v>
      </c>
      <c r="D105" s="200">
        <f>VLOOKUP(MID(B105,1,8)-0,'palkat 1.12.2018'!$B$9:$G$223,5,FALSE)</f>
        <v>2351.94</v>
      </c>
      <c r="E105" s="11">
        <f>IF('muut muuttujat'!$G$3=1,C105,KÄYTTÖTAULU!$B$13)</f>
        <v>2374.48</v>
      </c>
      <c r="F105" s="11">
        <f>IF('muut muuttujat'!$G$3=1,D105,KÄYTTÖTAULU!$B$13)</f>
        <v>2351.94</v>
      </c>
      <c r="G105" s="11">
        <f>KÄYTTÖTAULU!$F$6</f>
        <v>0</v>
      </c>
      <c r="H105" s="11">
        <f>KÄYTTÖTAULU!$F$6</f>
        <v>0</v>
      </c>
      <c r="I105" s="11">
        <f t="shared" si="16"/>
        <v>0</v>
      </c>
      <c r="J105" s="11">
        <f t="shared" si="26"/>
        <v>0</v>
      </c>
      <c r="K105" s="1" t="e">
        <f>ROUND(I105/KÄYTTÖTAULU!$I$8,2)</f>
        <v>#DIV/0!</v>
      </c>
      <c r="L105" s="1" t="e">
        <f>ROUND(J105/KÄYTTÖTAULU!$I$8,2)</f>
        <v>#DIV/0!</v>
      </c>
      <c r="M105" s="1" t="e">
        <f t="shared" si="17"/>
        <v>#DIV/0!</v>
      </c>
      <c r="N105" s="1" t="e">
        <f t="shared" si="18"/>
        <v>#DIV/0!</v>
      </c>
      <c r="O105" s="11" t="e">
        <f>ROUND(E105*0.83/KÄYTTÖTAULU!$I$8*12/38,2)</f>
        <v>#DIV/0!</v>
      </c>
      <c r="P105" s="11" t="e">
        <f>ROUND(F105*0.83/KÄYTTÖTAULU!$I$8*12/38,2)</f>
        <v>#DIV/0!</v>
      </c>
      <c r="Q105" s="11"/>
      <c r="R105" s="24">
        <v>0</v>
      </c>
      <c r="S105" s="25">
        <v>6</v>
      </c>
      <c r="T105" s="25">
        <v>4</v>
      </c>
      <c r="U105" s="25">
        <v>6</v>
      </c>
      <c r="V105" s="25">
        <v>6</v>
      </c>
      <c r="W105" s="50">
        <v>6</v>
      </c>
      <c r="X105" s="25">
        <v>1</v>
      </c>
      <c r="Y105" s="25">
        <f t="shared" si="19"/>
        <v>1.06</v>
      </c>
      <c r="Z105" s="25">
        <f t="shared" si="20"/>
        <v>1.1024</v>
      </c>
      <c r="AA105" s="25">
        <f t="shared" si="21"/>
        <v>1.168544</v>
      </c>
      <c r="AB105" s="25">
        <f t="shared" si="25"/>
        <v>1.23865664</v>
      </c>
      <c r="AC105" s="50">
        <f t="shared" si="23"/>
        <v>1.3129760384000002</v>
      </c>
    </row>
    <row r="106" spans="1:29" ht="12.75">
      <c r="A106" s="1">
        <v>101</v>
      </c>
      <c r="B106" s="10" t="s">
        <v>425</v>
      </c>
      <c r="C106" s="200">
        <f>VLOOKUP(MID(B106,1,8)-0,'palkat 1.12.2018'!$B$9:$G$223,3,FALSE)</f>
        <v>2487.16</v>
      </c>
      <c r="D106" s="200">
        <f>VLOOKUP(MID(B106,1,8)-0,'palkat 1.12.2018'!$B$9:$G$223,5,FALSE)</f>
        <v>2463.54</v>
      </c>
      <c r="E106" s="11">
        <f>IF('muut muuttujat'!$G$3=1,C106,KÄYTTÖTAULU!$B$13)</f>
        <v>2487.16</v>
      </c>
      <c r="F106" s="11">
        <f>IF('muut muuttujat'!$G$3=1,D106,KÄYTTÖTAULU!$B$13)</f>
        <v>2463.54</v>
      </c>
      <c r="G106" s="11">
        <f>KÄYTTÖTAULU!$F$6</f>
        <v>0</v>
      </c>
      <c r="H106" s="11">
        <f>KÄYTTÖTAULU!$F$6</f>
        <v>0</v>
      </c>
      <c r="I106" s="11">
        <f t="shared" si="16"/>
        <v>0</v>
      </c>
      <c r="J106" s="11">
        <f t="shared" si="26"/>
        <v>0</v>
      </c>
      <c r="K106" s="1" t="e">
        <f>ROUND(I106/KÄYTTÖTAULU!$I$8,2)</f>
        <v>#DIV/0!</v>
      </c>
      <c r="L106" s="1" t="e">
        <f>ROUND(J106/KÄYTTÖTAULU!$I$8,2)</f>
        <v>#DIV/0!</v>
      </c>
      <c r="M106" s="1" t="e">
        <f t="shared" si="17"/>
        <v>#DIV/0!</v>
      </c>
      <c r="N106" s="1" t="e">
        <f t="shared" si="18"/>
        <v>#DIV/0!</v>
      </c>
      <c r="O106" s="11"/>
      <c r="P106" s="11"/>
      <c r="Q106" s="11"/>
      <c r="R106" s="24">
        <v>0</v>
      </c>
      <c r="S106" s="25">
        <v>2</v>
      </c>
      <c r="T106" s="25">
        <v>4</v>
      </c>
      <c r="U106" s="25">
        <v>6</v>
      </c>
      <c r="V106" s="25">
        <v>6</v>
      </c>
      <c r="W106" s="50">
        <v>6</v>
      </c>
      <c r="X106" s="25">
        <v>1</v>
      </c>
      <c r="Y106" s="25">
        <f t="shared" si="19"/>
        <v>1.02</v>
      </c>
      <c r="Z106" s="25">
        <f t="shared" si="20"/>
        <v>1.0608</v>
      </c>
      <c r="AA106" s="25">
        <f t="shared" si="21"/>
        <v>1.1244480000000001</v>
      </c>
      <c r="AB106" s="25">
        <f t="shared" si="25"/>
        <v>1.1919148800000001</v>
      </c>
      <c r="AC106" s="50">
        <f t="shared" si="23"/>
        <v>1.2634297728000001</v>
      </c>
    </row>
    <row r="107" spans="1:29" ht="12.75">
      <c r="A107" s="1">
        <v>102</v>
      </c>
      <c r="B107" s="10" t="s">
        <v>426</v>
      </c>
      <c r="C107" s="200">
        <f>VLOOKUP(MID(B107,1,8)-0,'palkat 1.12.2018'!$B$9:$G$223,3,FALSE)</f>
        <v>2359.52</v>
      </c>
      <c r="D107" s="200">
        <f>VLOOKUP(MID(B107,1,8)-0,'palkat 1.12.2018'!$B$9:$G$223,5,FALSE)</f>
        <v>2337.15</v>
      </c>
      <c r="E107" s="11">
        <f>IF('muut muuttujat'!$G$3=1,C107,KÄYTTÖTAULU!$B$13)</f>
        <v>2359.52</v>
      </c>
      <c r="F107" s="11">
        <f>IF('muut muuttujat'!$G$3=1,D107,KÄYTTÖTAULU!$B$13)</f>
        <v>2337.15</v>
      </c>
      <c r="G107" s="11">
        <f>KÄYTTÖTAULU!$F$6</f>
        <v>0</v>
      </c>
      <c r="H107" s="11">
        <f>KÄYTTÖTAULU!$F$6</f>
        <v>0</v>
      </c>
      <c r="I107" s="11">
        <f t="shared" si="16"/>
        <v>0</v>
      </c>
      <c r="J107" s="11">
        <f t="shared" si="26"/>
        <v>0</v>
      </c>
      <c r="K107" s="1" t="e">
        <f>ROUND(I107/KÄYTTÖTAULU!$I$8,2)</f>
        <v>#DIV/0!</v>
      </c>
      <c r="L107" s="1" t="e">
        <f>ROUND(J107/KÄYTTÖTAULU!$I$8,2)</f>
        <v>#DIV/0!</v>
      </c>
      <c r="M107" s="1" t="e">
        <f t="shared" si="17"/>
        <v>#DIV/0!</v>
      </c>
      <c r="N107" s="1" t="e">
        <f t="shared" si="18"/>
        <v>#DIV/0!</v>
      </c>
      <c r="O107" s="11"/>
      <c r="P107" s="11"/>
      <c r="Q107" s="11"/>
      <c r="R107" s="24">
        <v>0</v>
      </c>
      <c r="S107" s="25">
        <v>2</v>
      </c>
      <c r="T107" s="25">
        <v>4</v>
      </c>
      <c r="U107" s="25">
        <v>6</v>
      </c>
      <c r="V107" s="25">
        <v>6</v>
      </c>
      <c r="W107" s="50">
        <v>6</v>
      </c>
      <c r="X107" s="25">
        <v>1</v>
      </c>
      <c r="Y107" s="25">
        <f t="shared" si="19"/>
        <v>1.02</v>
      </c>
      <c r="Z107" s="25">
        <f t="shared" si="20"/>
        <v>1.0608</v>
      </c>
      <c r="AA107" s="25">
        <f t="shared" si="21"/>
        <v>1.1244480000000001</v>
      </c>
      <c r="AB107" s="25">
        <f t="shared" si="25"/>
        <v>1.1919148800000001</v>
      </c>
      <c r="AC107" s="50">
        <f t="shared" si="23"/>
        <v>1.2634297728000001</v>
      </c>
    </row>
    <row r="108" spans="1:29" ht="12.75">
      <c r="A108" s="1">
        <v>103</v>
      </c>
      <c r="B108" s="10" t="s">
        <v>427</v>
      </c>
      <c r="C108" s="200">
        <f>VLOOKUP(MID(B108,1,8)-0,'palkat 1.12.2018'!$B$9:$G$223,3,FALSE)</f>
        <v>2343.06</v>
      </c>
      <c r="D108" s="200">
        <f>VLOOKUP(MID(B108,1,8)-0,'palkat 1.12.2018'!$B$9:$G$223,5,FALSE)</f>
        <v>2320.84</v>
      </c>
      <c r="E108" s="11">
        <f>IF('muut muuttujat'!$G$3=1,C108,KÄYTTÖTAULU!$B$13)</f>
        <v>2343.06</v>
      </c>
      <c r="F108" s="11">
        <f>IF('muut muuttujat'!$G$3=1,D108,KÄYTTÖTAULU!$B$13)</f>
        <v>2320.84</v>
      </c>
      <c r="G108" s="11">
        <f>KÄYTTÖTAULU!$F$6</f>
        <v>0</v>
      </c>
      <c r="H108" s="11">
        <f>KÄYTTÖTAULU!$F$6</f>
        <v>0</v>
      </c>
      <c r="I108" s="11">
        <f t="shared" si="16"/>
        <v>0</v>
      </c>
      <c r="J108" s="11">
        <f t="shared" si="26"/>
        <v>0</v>
      </c>
      <c r="K108" s="1" t="e">
        <f>ROUND(I108/KÄYTTÖTAULU!$I$8,2)</f>
        <v>#DIV/0!</v>
      </c>
      <c r="L108" s="1" t="e">
        <f>ROUND(J108/KÄYTTÖTAULU!$I$8,2)</f>
        <v>#DIV/0!</v>
      </c>
      <c r="M108" s="1" t="e">
        <f t="shared" si="17"/>
        <v>#DIV/0!</v>
      </c>
      <c r="N108" s="1" t="e">
        <f t="shared" si="18"/>
        <v>#DIV/0!</v>
      </c>
      <c r="O108" s="11"/>
      <c r="P108" s="11"/>
      <c r="Q108" s="11"/>
      <c r="R108" s="24">
        <v>0</v>
      </c>
      <c r="S108" s="25">
        <v>2</v>
      </c>
      <c r="T108" s="25">
        <v>4</v>
      </c>
      <c r="U108" s="25">
        <v>6</v>
      </c>
      <c r="V108" s="25">
        <v>6</v>
      </c>
      <c r="W108" s="50">
        <v>6</v>
      </c>
      <c r="X108" s="25">
        <v>1</v>
      </c>
      <c r="Y108" s="25">
        <f t="shared" si="19"/>
        <v>1.02</v>
      </c>
      <c r="Z108" s="25">
        <f t="shared" si="20"/>
        <v>1.0608</v>
      </c>
      <c r="AA108" s="25">
        <f t="shared" si="21"/>
        <v>1.1244480000000001</v>
      </c>
      <c r="AB108" s="25">
        <f t="shared" si="25"/>
        <v>1.1919148800000001</v>
      </c>
      <c r="AC108" s="50">
        <f t="shared" si="23"/>
        <v>1.2634297728000001</v>
      </c>
    </row>
    <row r="109" spans="1:29" ht="12.75">
      <c r="A109" s="1">
        <v>104</v>
      </c>
      <c r="B109" s="10" t="s">
        <v>428</v>
      </c>
      <c r="C109" s="200">
        <f>VLOOKUP(MID(B109,1,8)-0,'palkat 1.12.2018'!$B$9:$G$223,3,FALSE)</f>
        <v>2137.85</v>
      </c>
      <c r="D109" s="200">
        <f>VLOOKUP(MID(B109,1,8)-0,'palkat 1.12.2018'!$B$9:$G$223,5,FALSE)</f>
        <v>2117.56</v>
      </c>
      <c r="E109" s="11">
        <f>IF('muut muuttujat'!$G$3=1,C109,KÄYTTÖTAULU!$B$13)</f>
        <v>2137.85</v>
      </c>
      <c r="F109" s="11">
        <f>IF('muut muuttujat'!$G$3=1,D109,KÄYTTÖTAULU!$B$13)</f>
        <v>2117.56</v>
      </c>
      <c r="G109" s="11">
        <f>KÄYTTÖTAULU!$F$6</f>
        <v>0</v>
      </c>
      <c r="H109" s="11">
        <f>KÄYTTÖTAULU!$F$6</f>
        <v>0</v>
      </c>
      <c r="I109" s="11">
        <f t="shared" si="16"/>
        <v>0</v>
      </c>
      <c r="J109" s="11">
        <f t="shared" si="26"/>
        <v>0</v>
      </c>
      <c r="K109" s="1" t="e">
        <f>ROUND(I109/KÄYTTÖTAULU!$I$8,2)</f>
        <v>#DIV/0!</v>
      </c>
      <c r="L109" s="1" t="e">
        <f>ROUND(J109/KÄYTTÖTAULU!$I$8,2)</f>
        <v>#DIV/0!</v>
      </c>
      <c r="M109" s="1" t="e">
        <f t="shared" si="17"/>
        <v>#DIV/0!</v>
      </c>
      <c r="N109" s="1" t="e">
        <f t="shared" si="18"/>
        <v>#DIV/0!</v>
      </c>
      <c r="O109" s="11"/>
      <c r="P109" s="11"/>
      <c r="Q109" s="11"/>
      <c r="R109" s="24">
        <v>0</v>
      </c>
      <c r="S109" s="25">
        <v>2</v>
      </c>
      <c r="T109" s="25">
        <v>4</v>
      </c>
      <c r="U109" s="25">
        <v>6</v>
      </c>
      <c r="V109" s="25">
        <v>6</v>
      </c>
      <c r="W109" s="50">
        <v>6</v>
      </c>
      <c r="X109" s="25">
        <v>1</v>
      </c>
      <c r="Y109" s="25">
        <f t="shared" si="19"/>
        <v>1.02</v>
      </c>
      <c r="Z109" s="25">
        <f t="shared" si="20"/>
        <v>1.0608</v>
      </c>
      <c r="AA109" s="25">
        <f t="shared" si="21"/>
        <v>1.1244480000000001</v>
      </c>
      <c r="AB109" s="25">
        <f t="shared" si="25"/>
        <v>1.1919148800000001</v>
      </c>
      <c r="AC109" s="50">
        <f t="shared" si="23"/>
        <v>1.2634297728000001</v>
      </c>
    </row>
    <row r="110" spans="1:29" ht="12.75">
      <c r="A110" s="1">
        <v>105</v>
      </c>
      <c r="B110" s="10" t="s">
        <v>429</v>
      </c>
      <c r="C110" s="200">
        <f>VLOOKUP(MID(B110,1,8)-0,'palkat 1.12.2018'!$B$9:$G$223,3,FALSE)</f>
        <v>2487.16</v>
      </c>
      <c r="D110" s="200">
        <f>VLOOKUP(MID(B110,1,8)-0,'palkat 1.12.2018'!$B$9:$G$223,5,FALSE)</f>
        <v>2463.54</v>
      </c>
      <c r="E110" s="11">
        <f>IF('muut muuttujat'!$G$3=1,C110,KÄYTTÖTAULU!$B$13)</f>
        <v>2487.16</v>
      </c>
      <c r="F110" s="11">
        <f>IF('muut muuttujat'!$G$3=1,D110,KÄYTTÖTAULU!$B$13)</f>
        <v>2463.54</v>
      </c>
      <c r="G110" s="11">
        <f>KÄYTTÖTAULU!$F$6</f>
        <v>0</v>
      </c>
      <c r="H110" s="11">
        <f>KÄYTTÖTAULU!$F$6</f>
        <v>0</v>
      </c>
      <c r="I110" s="11">
        <f t="shared" si="16"/>
        <v>0</v>
      </c>
      <c r="J110" s="11">
        <f t="shared" si="26"/>
        <v>0</v>
      </c>
      <c r="K110" s="1" t="e">
        <f>ROUND(I110/KÄYTTÖTAULU!$I$8,2)</f>
        <v>#DIV/0!</v>
      </c>
      <c r="L110" s="1" t="e">
        <f>ROUND(J110/KÄYTTÖTAULU!$I$8,2)</f>
        <v>#DIV/0!</v>
      </c>
      <c r="M110" s="1" t="e">
        <f t="shared" si="17"/>
        <v>#DIV/0!</v>
      </c>
      <c r="N110" s="1" t="e">
        <f t="shared" si="18"/>
        <v>#DIV/0!</v>
      </c>
      <c r="O110" s="11"/>
      <c r="P110" s="11"/>
      <c r="Q110" s="11"/>
      <c r="R110" s="24">
        <v>0</v>
      </c>
      <c r="S110" s="25">
        <v>2</v>
      </c>
      <c r="T110" s="25">
        <v>4</v>
      </c>
      <c r="U110" s="25">
        <v>6</v>
      </c>
      <c r="V110" s="25">
        <v>6</v>
      </c>
      <c r="W110" s="50">
        <v>6</v>
      </c>
      <c r="X110" s="25">
        <v>1</v>
      </c>
      <c r="Y110" s="25">
        <f t="shared" si="19"/>
        <v>1.02</v>
      </c>
      <c r="Z110" s="25">
        <f t="shared" si="20"/>
        <v>1.0608</v>
      </c>
      <c r="AA110" s="25">
        <f t="shared" si="21"/>
        <v>1.1244480000000001</v>
      </c>
      <c r="AB110" s="25">
        <f t="shared" si="25"/>
        <v>1.1919148800000001</v>
      </c>
      <c r="AC110" s="50">
        <f t="shared" si="23"/>
        <v>1.2634297728000001</v>
      </c>
    </row>
    <row r="111" spans="1:29" ht="12.75">
      <c r="A111" s="1">
        <v>106</v>
      </c>
      <c r="B111" s="10" t="s">
        <v>430</v>
      </c>
      <c r="C111" s="200">
        <f>VLOOKUP(MID(B111,1,8)-0,'palkat 1.12.2018'!$B$9:$G$223,3,FALSE)</f>
        <v>2343.06</v>
      </c>
      <c r="D111" s="200">
        <f>VLOOKUP(MID(B111,1,8)-0,'palkat 1.12.2018'!$B$9:$G$223,5,FALSE)</f>
        <v>2320.84</v>
      </c>
      <c r="E111" s="11">
        <f>IF('muut muuttujat'!$G$3=1,C111,KÄYTTÖTAULU!$B$13)</f>
        <v>2343.06</v>
      </c>
      <c r="F111" s="11">
        <f>IF('muut muuttujat'!$G$3=1,D111,KÄYTTÖTAULU!$B$13)</f>
        <v>2320.84</v>
      </c>
      <c r="G111" s="11">
        <f>KÄYTTÖTAULU!$F$6</f>
        <v>0</v>
      </c>
      <c r="H111" s="11">
        <f>KÄYTTÖTAULU!$F$6</f>
        <v>0</v>
      </c>
      <c r="I111" s="11">
        <f t="shared" si="16"/>
        <v>0</v>
      </c>
      <c r="J111" s="11">
        <f t="shared" si="26"/>
        <v>0</v>
      </c>
      <c r="K111" s="1" t="e">
        <f>ROUND(I111/KÄYTTÖTAULU!$I$8,2)</f>
        <v>#DIV/0!</v>
      </c>
      <c r="L111" s="1" t="e">
        <f>ROUND(J111/KÄYTTÖTAULU!$I$8,2)</f>
        <v>#DIV/0!</v>
      </c>
      <c r="M111" s="1" t="e">
        <f t="shared" si="17"/>
        <v>#DIV/0!</v>
      </c>
      <c r="N111" s="1" t="e">
        <f t="shared" si="18"/>
        <v>#DIV/0!</v>
      </c>
      <c r="O111" s="11"/>
      <c r="P111" s="11"/>
      <c r="Q111" s="11"/>
      <c r="R111" s="24">
        <v>0</v>
      </c>
      <c r="S111" s="25">
        <v>2</v>
      </c>
      <c r="T111" s="25">
        <v>4</v>
      </c>
      <c r="U111" s="25">
        <v>6</v>
      </c>
      <c r="V111" s="25">
        <v>6</v>
      </c>
      <c r="W111" s="50">
        <v>6</v>
      </c>
      <c r="X111" s="25">
        <v>1</v>
      </c>
      <c r="Y111" s="25">
        <f t="shared" si="19"/>
        <v>1.02</v>
      </c>
      <c r="Z111" s="25">
        <f t="shared" si="20"/>
        <v>1.0608</v>
      </c>
      <c r="AA111" s="25">
        <f t="shared" si="21"/>
        <v>1.1244480000000001</v>
      </c>
      <c r="AB111" s="25">
        <f t="shared" si="25"/>
        <v>1.1919148800000001</v>
      </c>
      <c r="AC111" s="50">
        <f t="shared" si="23"/>
        <v>1.2634297728000001</v>
      </c>
    </row>
    <row r="112" spans="1:29" ht="12.75">
      <c r="A112" s="1">
        <v>107</v>
      </c>
      <c r="B112" s="10" t="s">
        <v>431</v>
      </c>
      <c r="C112" s="200">
        <f>VLOOKUP(MID(B112,1,8)-0,'palkat 1.12.2018'!$B$9:$G$223,3,FALSE)</f>
        <v>2487.16</v>
      </c>
      <c r="D112" s="200">
        <f>VLOOKUP(MID(B112,1,8)-0,'palkat 1.12.2018'!$B$9:$G$223,5,FALSE)</f>
        <v>2463.54</v>
      </c>
      <c r="E112" s="11">
        <f>IF('muut muuttujat'!$G$3=1,C112,KÄYTTÖTAULU!$B$13)</f>
        <v>2487.16</v>
      </c>
      <c r="F112" s="11">
        <f>IF('muut muuttujat'!$G$3=1,D112,KÄYTTÖTAULU!$B$13)</f>
        <v>2463.54</v>
      </c>
      <c r="G112" s="11">
        <f>KÄYTTÖTAULU!$F$6</f>
        <v>0</v>
      </c>
      <c r="H112" s="11">
        <f>KÄYTTÖTAULU!$F$6</f>
        <v>0</v>
      </c>
      <c r="I112" s="11">
        <f t="shared" si="16"/>
        <v>0</v>
      </c>
      <c r="J112" s="11">
        <f t="shared" si="26"/>
        <v>0</v>
      </c>
      <c r="K112" s="1" t="e">
        <f>ROUND(I112/KÄYTTÖTAULU!$I$8,2)</f>
        <v>#DIV/0!</v>
      </c>
      <c r="L112" s="1" t="e">
        <f>ROUND(J112/KÄYTTÖTAULU!$I$8,2)</f>
        <v>#DIV/0!</v>
      </c>
      <c r="M112" s="1" t="e">
        <f t="shared" si="17"/>
        <v>#DIV/0!</v>
      </c>
      <c r="N112" s="1" t="e">
        <f t="shared" si="18"/>
        <v>#DIV/0!</v>
      </c>
      <c r="O112" s="11" t="e">
        <f>ROUND(E112*0.83/KÄYTTÖTAULU!$I$8*12/38,2)</f>
        <v>#DIV/0!</v>
      </c>
      <c r="P112" s="11" t="e">
        <f>ROUND(F112*0.83/KÄYTTÖTAULU!$I$8*12/38,2)</f>
        <v>#DIV/0!</v>
      </c>
      <c r="Q112" s="11"/>
      <c r="R112" s="24">
        <v>0</v>
      </c>
      <c r="S112" s="25">
        <v>2</v>
      </c>
      <c r="T112" s="25">
        <v>4</v>
      </c>
      <c r="U112" s="25">
        <v>6</v>
      </c>
      <c r="V112" s="25">
        <v>6</v>
      </c>
      <c r="W112" s="50">
        <v>6</v>
      </c>
      <c r="X112" s="25">
        <v>1</v>
      </c>
      <c r="Y112" s="25">
        <f t="shared" si="19"/>
        <v>1.02</v>
      </c>
      <c r="Z112" s="25">
        <f t="shared" si="20"/>
        <v>1.0608</v>
      </c>
      <c r="AA112" s="25">
        <f t="shared" si="21"/>
        <v>1.1244480000000001</v>
      </c>
      <c r="AB112" s="25">
        <f t="shared" si="25"/>
        <v>1.1919148800000001</v>
      </c>
      <c r="AC112" s="50">
        <f t="shared" si="23"/>
        <v>1.2634297728000001</v>
      </c>
    </row>
    <row r="113" spans="1:29" ht="12.75">
      <c r="A113" s="1">
        <v>108</v>
      </c>
      <c r="B113" s="10" t="s">
        <v>432</v>
      </c>
      <c r="C113" s="200">
        <f>VLOOKUP(MID(B113,1,8)-0,'palkat 1.12.2018'!$B$9:$G$223,3,FALSE)</f>
        <v>2359.52</v>
      </c>
      <c r="D113" s="200">
        <f>VLOOKUP(MID(B113,1,8)-0,'palkat 1.12.2018'!$B$9:$G$223,5,FALSE)</f>
        <v>2337.15</v>
      </c>
      <c r="E113" s="11">
        <f>IF('muut muuttujat'!$G$3=1,C113,KÄYTTÖTAULU!$B$13)</f>
        <v>2359.52</v>
      </c>
      <c r="F113" s="11">
        <f>IF('muut muuttujat'!$G$3=1,D113,KÄYTTÖTAULU!$B$13)</f>
        <v>2337.15</v>
      </c>
      <c r="G113" s="11">
        <f>KÄYTTÖTAULU!$F$6</f>
        <v>0</v>
      </c>
      <c r="H113" s="11">
        <f>KÄYTTÖTAULU!$F$6</f>
        <v>0</v>
      </c>
      <c r="I113" s="11">
        <f t="shared" si="16"/>
        <v>0</v>
      </c>
      <c r="J113" s="11">
        <f t="shared" si="26"/>
        <v>0</v>
      </c>
      <c r="K113" s="1" t="e">
        <f>ROUND(I113/KÄYTTÖTAULU!$I$8,2)</f>
        <v>#DIV/0!</v>
      </c>
      <c r="L113" s="1" t="e">
        <f>ROUND(J113/KÄYTTÖTAULU!$I$8,2)</f>
        <v>#DIV/0!</v>
      </c>
      <c r="M113" s="1" t="e">
        <f t="shared" si="17"/>
        <v>#DIV/0!</v>
      </c>
      <c r="N113" s="1" t="e">
        <f t="shared" si="18"/>
        <v>#DIV/0!</v>
      </c>
      <c r="O113" s="11" t="e">
        <f>ROUND(E113*0.83/KÄYTTÖTAULU!$I$8*12/38,2)</f>
        <v>#DIV/0!</v>
      </c>
      <c r="P113" s="11" t="e">
        <f>ROUND(F113*0.83/KÄYTTÖTAULU!$I$8*12/38,2)</f>
        <v>#DIV/0!</v>
      </c>
      <c r="Q113" s="11"/>
      <c r="R113" s="24">
        <v>0</v>
      </c>
      <c r="S113" s="25">
        <v>2</v>
      </c>
      <c r="T113" s="25">
        <v>4</v>
      </c>
      <c r="U113" s="25">
        <v>6</v>
      </c>
      <c r="V113" s="25">
        <v>6</v>
      </c>
      <c r="W113" s="50">
        <v>6</v>
      </c>
      <c r="X113" s="25">
        <v>1</v>
      </c>
      <c r="Y113" s="25">
        <f t="shared" si="19"/>
        <v>1.02</v>
      </c>
      <c r="Z113" s="25">
        <f t="shared" si="20"/>
        <v>1.0608</v>
      </c>
      <c r="AA113" s="25">
        <f t="shared" si="21"/>
        <v>1.1244480000000001</v>
      </c>
      <c r="AB113" s="25">
        <f t="shared" si="25"/>
        <v>1.1919148800000001</v>
      </c>
      <c r="AC113" s="50">
        <f t="shared" si="23"/>
        <v>1.2634297728000001</v>
      </c>
    </row>
    <row r="114" spans="1:29" ht="12.75">
      <c r="A114" s="1">
        <v>109</v>
      </c>
      <c r="B114" s="10" t="s">
        <v>433</v>
      </c>
      <c r="C114" s="200">
        <f>VLOOKUP(MID(B114,1,8)-0,'palkat 1.12.2018'!$B$9:$G$223,3,FALSE)</f>
        <v>2343.06</v>
      </c>
      <c r="D114" s="200">
        <f>VLOOKUP(MID(B114,1,8)-0,'palkat 1.12.2018'!$B$9:$G$223,5,FALSE)</f>
        <v>2320.84</v>
      </c>
      <c r="E114" s="11">
        <f>IF('muut muuttujat'!$G$3=1,C114,KÄYTTÖTAULU!$B$13)</f>
        <v>2343.06</v>
      </c>
      <c r="F114" s="11">
        <f>IF('muut muuttujat'!$G$3=1,D114,KÄYTTÖTAULU!$B$13)</f>
        <v>2320.84</v>
      </c>
      <c r="G114" s="11">
        <f>KÄYTTÖTAULU!$F$6</f>
        <v>0</v>
      </c>
      <c r="H114" s="11">
        <f>KÄYTTÖTAULU!$F$6</f>
        <v>0</v>
      </c>
      <c r="I114" s="11">
        <f t="shared" si="16"/>
        <v>0</v>
      </c>
      <c r="J114" s="11">
        <f t="shared" si="26"/>
        <v>0</v>
      </c>
      <c r="K114" s="1" t="e">
        <f>ROUND(I114/KÄYTTÖTAULU!$I$8,2)</f>
        <v>#DIV/0!</v>
      </c>
      <c r="L114" s="1" t="e">
        <f>ROUND(J114/KÄYTTÖTAULU!$I$8,2)</f>
        <v>#DIV/0!</v>
      </c>
      <c r="M114" s="1" t="e">
        <f t="shared" si="17"/>
        <v>#DIV/0!</v>
      </c>
      <c r="N114" s="1" t="e">
        <f t="shared" si="18"/>
        <v>#DIV/0!</v>
      </c>
      <c r="O114" s="11" t="e">
        <f>ROUND(E114*0.83/KÄYTTÖTAULU!$I$8*12/38,2)</f>
        <v>#DIV/0!</v>
      </c>
      <c r="P114" s="11" t="e">
        <f>ROUND(F114*0.83/KÄYTTÖTAULU!$I$8*12/38,2)</f>
        <v>#DIV/0!</v>
      </c>
      <c r="Q114" s="11"/>
      <c r="R114" s="24">
        <v>0</v>
      </c>
      <c r="S114" s="25">
        <v>2</v>
      </c>
      <c r="T114" s="25">
        <v>4</v>
      </c>
      <c r="U114" s="25">
        <v>6</v>
      </c>
      <c r="V114" s="25">
        <v>6</v>
      </c>
      <c r="W114" s="50">
        <v>6</v>
      </c>
      <c r="X114" s="25">
        <v>1</v>
      </c>
      <c r="Y114" s="25">
        <f t="shared" si="19"/>
        <v>1.02</v>
      </c>
      <c r="Z114" s="25">
        <f t="shared" si="20"/>
        <v>1.0608</v>
      </c>
      <c r="AA114" s="25">
        <f t="shared" si="21"/>
        <v>1.1244480000000001</v>
      </c>
      <c r="AB114" s="25">
        <f t="shared" si="25"/>
        <v>1.1919148800000001</v>
      </c>
      <c r="AC114" s="50">
        <f t="shared" si="23"/>
        <v>1.2634297728000001</v>
      </c>
    </row>
    <row r="115" spans="1:29" ht="12.75">
      <c r="A115" s="1">
        <v>110</v>
      </c>
      <c r="B115" s="10" t="s">
        <v>434</v>
      </c>
      <c r="C115" s="200">
        <f>VLOOKUP(MID(B115,1,8)-0,'palkat 1.12.2018'!$B$9:$G$223,3,FALSE)</f>
        <v>2137.85</v>
      </c>
      <c r="D115" s="200">
        <f>VLOOKUP(MID(B115,1,8)-0,'palkat 1.12.2018'!$B$9:$G$223,5,FALSE)</f>
        <v>2117.56</v>
      </c>
      <c r="E115" s="11">
        <f>IF('muut muuttujat'!$G$3=1,C115,KÄYTTÖTAULU!$B$13)</f>
        <v>2137.85</v>
      </c>
      <c r="F115" s="11">
        <f>IF('muut muuttujat'!$G$3=1,D115,KÄYTTÖTAULU!$B$13)</f>
        <v>2117.56</v>
      </c>
      <c r="G115" s="11">
        <f>KÄYTTÖTAULU!$F$6</f>
        <v>0</v>
      </c>
      <c r="H115" s="11">
        <f>KÄYTTÖTAULU!$F$6</f>
        <v>0</v>
      </c>
      <c r="I115" s="11">
        <f t="shared" si="16"/>
        <v>0</v>
      </c>
      <c r="J115" s="11">
        <f t="shared" si="26"/>
        <v>0</v>
      </c>
      <c r="K115" s="1" t="e">
        <f>ROUND(I115/KÄYTTÖTAULU!$I$8,2)</f>
        <v>#DIV/0!</v>
      </c>
      <c r="L115" s="1" t="e">
        <f>ROUND(J115/KÄYTTÖTAULU!$I$8,2)</f>
        <v>#DIV/0!</v>
      </c>
      <c r="M115" s="1" t="e">
        <f t="shared" si="17"/>
        <v>#DIV/0!</v>
      </c>
      <c r="N115" s="1" t="e">
        <f t="shared" si="18"/>
        <v>#DIV/0!</v>
      </c>
      <c r="O115" s="11" t="e">
        <f>ROUND(E115*0.83/KÄYTTÖTAULU!$I$8*12/38,2)</f>
        <v>#DIV/0!</v>
      </c>
      <c r="P115" s="11" t="e">
        <f>ROUND(F115*0.83/KÄYTTÖTAULU!$I$8*12/38,2)</f>
        <v>#DIV/0!</v>
      </c>
      <c r="Q115" s="11"/>
      <c r="R115" s="24">
        <v>0</v>
      </c>
      <c r="S115" s="25">
        <v>2</v>
      </c>
      <c r="T115" s="25">
        <v>4</v>
      </c>
      <c r="U115" s="25">
        <v>6</v>
      </c>
      <c r="V115" s="25">
        <v>6</v>
      </c>
      <c r="W115" s="50">
        <v>6</v>
      </c>
      <c r="X115" s="25">
        <v>1</v>
      </c>
      <c r="Y115" s="25">
        <f t="shared" si="19"/>
        <v>1.02</v>
      </c>
      <c r="Z115" s="25">
        <f t="shared" si="20"/>
        <v>1.0608</v>
      </c>
      <c r="AA115" s="25">
        <f t="shared" si="21"/>
        <v>1.1244480000000001</v>
      </c>
      <c r="AB115" s="25">
        <f t="shared" si="25"/>
        <v>1.1919148800000001</v>
      </c>
      <c r="AC115" s="50">
        <f t="shared" si="23"/>
        <v>1.2634297728000001</v>
      </c>
    </row>
    <row r="116" spans="1:29" ht="12.75">
      <c r="A116" s="1">
        <v>111</v>
      </c>
      <c r="B116" s="10" t="s">
        <v>435</v>
      </c>
      <c r="C116" s="200">
        <f>VLOOKUP(MID(B116,1,8)-0,'palkat 1.12.2018'!$B$9:$G$223,3,FALSE)</f>
        <v>2487.16</v>
      </c>
      <c r="D116" s="200">
        <f>VLOOKUP(MID(B116,1,8)-0,'palkat 1.12.2018'!$B$9:$G$223,5,FALSE)</f>
        <v>2463.54</v>
      </c>
      <c r="E116" s="11">
        <f>IF('muut muuttujat'!$G$3=1,C116,KÄYTTÖTAULU!$B$13)</f>
        <v>2487.16</v>
      </c>
      <c r="F116" s="11">
        <f>IF('muut muuttujat'!$G$3=1,D116,KÄYTTÖTAULU!$B$13)</f>
        <v>2463.54</v>
      </c>
      <c r="G116" s="11">
        <f>KÄYTTÖTAULU!$F$6</f>
        <v>0</v>
      </c>
      <c r="H116" s="11">
        <f>KÄYTTÖTAULU!$F$6</f>
        <v>0</v>
      </c>
      <c r="I116" s="11">
        <f t="shared" si="16"/>
        <v>0</v>
      </c>
      <c r="J116" s="11">
        <f t="shared" si="26"/>
        <v>0</v>
      </c>
      <c r="K116" s="1" t="e">
        <f>ROUND(I116/KÄYTTÖTAULU!$I$8,2)</f>
        <v>#DIV/0!</v>
      </c>
      <c r="L116" s="1" t="e">
        <f>ROUND(J116/KÄYTTÖTAULU!$I$8,2)</f>
        <v>#DIV/0!</v>
      </c>
      <c r="M116" s="1" t="e">
        <f t="shared" si="17"/>
        <v>#DIV/0!</v>
      </c>
      <c r="N116" s="1" t="e">
        <f t="shared" si="18"/>
        <v>#DIV/0!</v>
      </c>
      <c r="O116" s="11" t="e">
        <f>ROUND(E116*0.83/KÄYTTÖTAULU!$I$8*12/38,2)</f>
        <v>#DIV/0!</v>
      </c>
      <c r="P116" s="11" t="e">
        <f>ROUND(F116*0.83/KÄYTTÖTAULU!$I$8*12/38,2)</f>
        <v>#DIV/0!</v>
      </c>
      <c r="Q116" s="11"/>
      <c r="R116" s="24">
        <v>0</v>
      </c>
      <c r="S116" s="25">
        <v>2</v>
      </c>
      <c r="T116" s="25">
        <v>4</v>
      </c>
      <c r="U116" s="25">
        <v>6</v>
      </c>
      <c r="V116" s="25">
        <v>6</v>
      </c>
      <c r="W116" s="50">
        <v>6</v>
      </c>
      <c r="X116" s="25">
        <v>1</v>
      </c>
      <c r="Y116" s="25">
        <f t="shared" si="19"/>
        <v>1.02</v>
      </c>
      <c r="Z116" s="25">
        <f t="shared" si="20"/>
        <v>1.0608</v>
      </c>
      <c r="AA116" s="25">
        <f t="shared" si="21"/>
        <v>1.1244480000000001</v>
      </c>
      <c r="AB116" s="25">
        <f t="shared" si="25"/>
        <v>1.1919148800000001</v>
      </c>
      <c r="AC116" s="50">
        <f t="shared" si="23"/>
        <v>1.2634297728000001</v>
      </c>
    </row>
    <row r="117" spans="1:29" ht="12.75">
      <c r="A117" s="1">
        <v>112</v>
      </c>
      <c r="B117" s="10" t="s">
        <v>436</v>
      </c>
      <c r="C117" s="200">
        <f>VLOOKUP(MID(B117,1,8)-0,'palkat 1.12.2018'!$B$9:$G$223,3,FALSE)</f>
        <v>2343.06</v>
      </c>
      <c r="D117" s="200">
        <f>VLOOKUP(MID(B117,1,8)-0,'palkat 1.12.2018'!$B$9:$G$223,5,FALSE)</f>
        <v>2320.84</v>
      </c>
      <c r="E117" s="11">
        <f>IF('muut muuttujat'!$G$3=1,C117,KÄYTTÖTAULU!$B$13)</f>
        <v>2343.06</v>
      </c>
      <c r="F117" s="11">
        <f>IF('muut muuttujat'!$G$3=1,D117,KÄYTTÖTAULU!$B$13)</f>
        <v>2320.84</v>
      </c>
      <c r="G117" s="11">
        <f>KÄYTTÖTAULU!$F$6</f>
        <v>0</v>
      </c>
      <c r="H117" s="11">
        <f>KÄYTTÖTAULU!$F$6</f>
        <v>0</v>
      </c>
      <c r="I117" s="11">
        <f t="shared" si="16"/>
        <v>0</v>
      </c>
      <c r="J117" s="11">
        <f t="shared" si="26"/>
        <v>0</v>
      </c>
      <c r="K117" s="1" t="e">
        <f>ROUND(I117/KÄYTTÖTAULU!$I$8,2)</f>
        <v>#DIV/0!</v>
      </c>
      <c r="L117" s="1" t="e">
        <f>ROUND(J117/KÄYTTÖTAULU!$I$8,2)</f>
        <v>#DIV/0!</v>
      </c>
      <c r="M117" s="1" t="e">
        <f t="shared" si="17"/>
        <v>#DIV/0!</v>
      </c>
      <c r="N117" s="1" t="e">
        <f t="shared" si="18"/>
        <v>#DIV/0!</v>
      </c>
      <c r="O117" s="11" t="e">
        <f>ROUND(E117*0.83/KÄYTTÖTAULU!$I$8*12/38,2)</f>
        <v>#DIV/0!</v>
      </c>
      <c r="P117" s="11" t="e">
        <f>ROUND(F117*0.83/KÄYTTÖTAULU!$I$8*12/38,2)</f>
        <v>#DIV/0!</v>
      </c>
      <c r="Q117" s="11"/>
      <c r="R117" s="24">
        <v>0</v>
      </c>
      <c r="S117" s="25">
        <v>2</v>
      </c>
      <c r="T117" s="25">
        <v>4</v>
      </c>
      <c r="U117" s="25">
        <v>6</v>
      </c>
      <c r="V117" s="25">
        <v>6</v>
      </c>
      <c r="W117" s="50">
        <v>6</v>
      </c>
      <c r="X117" s="25">
        <v>1</v>
      </c>
      <c r="Y117" s="25">
        <f t="shared" si="19"/>
        <v>1.02</v>
      </c>
      <c r="Z117" s="25">
        <f t="shared" si="20"/>
        <v>1.0608</v>
      </c>
      <c r="AA117" s="25">
        <f t="shared" si="21"/>
        <v>1.1244480000000001</v>
      </c>
      <c r="AB117" s="25">
        <f t="shared" si="25"/>
        <v>1.1919148800000001</v>
      </c>
      <c r="AC117" s="50">
        <f t="shared" si="23"/>
        <v>1.2634297728000001</v>
      </c>
    </row>
    <row r="118" spans="1:29" ht="12.75">
      <c r="A118" s="1">
        <v>113</v>
      </c>
      <c r="B118" s="10" t="s">
        <v>437</v>
      </c>
      <c r="C118" s="200">
        <f>VLOOKUP(MID(B118,1,8)-0,'palkat 1.12.2018'!$B$9:$G$223,3,FALSE)</f>
        <v>3275.54</v>
      </c>
      <c r="D118" s="200">
        <f>VLOOKUP(MID(B118,1,8)-0,'palkat 1.12.2018'!$B$9:$G$223,5,FALSE)</f>
        <v>3244.13</v>
      </c>
      <c r="E118" s="11">
        <f>IF('muut muuttujat'!$G$3=1,C118,KÄYTTÖTAULU!$B$13)</f>
        <v>3275.54</v>
      </c>
      <c r="F118" s="11">
        <f>IF('muut muuttujat'!$G$3=1,D118,KÄYTTÖTAULU!$B$13)</f>
        <v>3244.13</v>
      </c>
      <c r="G118" s="11">
        <f>KÄYTTÖTAULU!$F$6</f>
        <v>0</v>
      </c>
      <c r="H118" s="11">
        <f>KÄYTTÖTAULU!$F$6</f>
        <v>0</v>
      </c>
      <c r="I118" s="11"/>
      <c r="J118" s="11"/>
      <c r="O118" s="11"/>
      <c r="P118" s="11"/>
      <c r="Q118" s="11"/>
      <c r="R118" s="24">
        <v>0</v>
      </c>
      <c r="S118" s="25">
        <v>2</v>
      </c>
      <c r="T118" s="25">
        <v>3</v>
      </c>
      <c r="U118" s="25">
        <v>6</v>
      </c>
      <c r="V118" s="25">
        <v>0</v>
      </c>
      <c r="W118" s="50">
        <v>6</v>
      </c>
      <c r="X118" s="25">
        <v>1</v>
      </c>
      <c r="Y118" s="25">
        <f t="shared" si="19"/>
        <v>1.02</v>
      </c>
      <c r="Z118" s="25">
        <f t="shared" si="20"/>
        <v>1.0506</v>
      </c>
      <c r="AA118" s="25">
        <f t="shared" si="21"/>
        <v>1.113636</v>
      </c>
      <c r="AB118" s="25">
        <f t="shared" si="25"/>
        <v>1.113636</v>
      </c>
      <c r="AC118" s="50">
        <f t="shared" si="23"/>
        <v>1.18045416</v>
      </c>
    </row>
    <row r="119" spans="1:29" ht="12.75">
      <c r="A119" s="1">
        <v>114</v>
      </c>
      <c r="B119" s="10" t="s">
        <v>438</v>
      </c>
      <c r="C119" s="200">
        <f>VLOOKUP(MID(B119,1,8)-0,'palkat 1.12.2018'!$B$9:$G$223,3,FALSE)</f>
        <v>3118.61</v>
      </c>
      <c r="D119" s="200">
        <f>VLOOKUP(MID(B119,1,8)-0,'palkat 1.12.2018'!$B$9:$G$223,5,FALSE)</f>
        <v>3088.65</v>
      </c>
      <c r="E119" s="11">
        <f>IF('muut muuttujat'!$G$3=1,C119,KÄYTTÖTAULU!$B$13)</f>
        <v>3118.61</v>
      </c>
      <c r="F119" s="11">
        <f>IF('muut muuttujat'!$G$3=1,D119,KÄYTTÖTAULU!$B$13)</f>
        <v>3088.65</v>
      </c>
      <c r="G119" s="11">
        <f>KÄYTTÖTAULU!$F$6</f>
        <v>0</v>
      </c>
      <c r="H119" s="11">
        <f>KÄYTTÖTAULU!$F$6</f>
        <v>0</v>
      </c>
      <c r="I119" s="11"/>
      <c r="J119" s="11"/>
      <c r="O119" s="11"/>
      <c r="P119" s="11"/>
      <c r="Q119" s="11"/>
      <c r="R119" s="24">
        <v>0</v>
      </c>
      <c r="S119" s="25">
        <v>2</v>
      </c>
      <c r="T119" s="25">
        <v>3</v>
      </c>
      <c r="U119" s="25">
        <v>6</v>
      </c>
      <c r="V119" s="25">
        <v>0</v>
      </c>
      <c r="W119" s="50">
        <v>6</v>
      </c>
      <c r="X119" s="25">
        <v>1</v>
      </c>
      <c r="Y119" s="25">
        <f t="shared" si="19"/>
        <v>1.02</v>
      </c>
      <c r="Z119" s="25">
        <f t="shared" si="20"/>
        <v>1.0506</v>
      </c>
      <c r="AA119" s="25">
        <f t="shared" si="21"/>
        <v>1.113636</v>
      </c>
      <c r="AB119" s="25">
        <f t="shared" si="25"/>
        <v>1.113636</v>
      </c>
      <c r="AC119" s="50">
        <f t="shared" si="23"/>
        <v>1.18045416</v>
      </c>
    </row>
    <row r="120" spans="1:29" ht="12.75">
      <c r="A120" s="1">
        <v>115</v>
      </c>
      <c r="B120" s="10" t="s">
        <v>439</v>
      </c>
      <c r="C120" s="200">
        <f>VLOOKUP(MID(B120,1,8)-0,'palkat 1.12.2018'!$B$9:$G$223,3,FALSE)</f>
        <v>3275.54</v>
      </c>
      <c r="D120" s="200">
        <f>VLOOKUP(MID(B120,1,8)-0,'palkat 1.12.2018'!$B$9:$G$223,5,FALSE)</f>
        <v>3244.13</v>
      </c>
      <c r="E120" s="11">
        <f>IF('muut muuttujat'!$G$3=1,C120,KÄYTTÖTAULU!$B$13)</f>
        <v>3275.54</v>
      </c>
      <c r="F120" s="11">
        <f>IF('muut muuttujat'!$G$3=1,D120,KÄYTTÖTAULU!$B$13)</f>
        <v>3244.13</v>
      </c>
      <c r="G120" s="11">
        <f>KÄYTTÖTAULU!$F$6</f>
        <v>0</v>
      </c>
      <c r="H120" s="11">
        <f>KÄYTTÖTAULU!$F$6</f>
        <v>0</v>
      </c>
      <c r="I120" s="11">
        <f t="shared" si="16"/>
        <v>0</v>
      </c>
      <c r="J120" s="11">
        <f>H120*0.83</f>
        <v>0</v>
      </c>
      <c r="K120" s="1" t="e">
        <f>ROUND(I120/KÄYTTÖTAULU!$I$8,2)</f>
        <v>#DIV/0!</v>
      </c>
      <c r="L120" s="1" t="e">
        <f>ROUND(J120/KÄYTTÖTAULU!$I$8,2)</f>
        <v>#DIV/0!</v>
      </c>
      <c r="M120" s="1" t="e">
        <f t="shared" si="17"/>
        <v>#DIV/0!</v>
      </c>
      <c r="N120" s="1" t="e">
        <f t="shared" si="18"/>
        <v>#DIV/0!</v>
      </c>
      <c r="O120" s="11" t="e">
        <f>ROUND(E120*0.83/KÄYTTÖTAULU!$I$8*12/38,2)</f>
        <v>#DIV/0!</v>
      </c>
      <c r="P120" s="11" t="e">
        <f>ROUND(F120*0.83/KÄYTTÖTAULU!$I$8*12/38,2)</f>
        <v>#DIV/0!</v>
      </c>
      <c r="Q120" s="11"/>
      <c r="R120" s="24">
        <v>0</v>
      </c>
      <c r="S120" s="25">
        <v>2</v>
      </c>
      <c r="T120" s="25">
        <v>3</v>
      </c>
      <c r="U120" s="25">
        <v>6</v>
      </c>
      <c r="V120" s="25">
        <v>0</v>
      </c>
      <c r="W120" s="50">
        <v>6</v>
      </c>
      <c r="X120" s="25">
        <v>1</v>
      </c>
      <c r="Y120" s="25">
        <f t="shared" si="19"/>
        <v>1.02</v>
      </c>
      <c r="Z120" s="25">
        <f t="shared" si="20"/>
        <v>1.0506</v>
      </c>
      <c r="AA120" s="25">
        <f t="shared" si="21"/>
        <v>1.113636</v>
      </c>
      <c r="AB120" s="25">
        <f t="shared" si="25"/>
        <v>1.113636</v>
      </c>
      <c r="AC120" s="50">
        <f t="shared" si="23"/>
        <v>1.18045416</v>
      </c>
    </row>
    <row r="121" spans="1:29" ht="12.75">
      <c r="A121" s="1">
        <v>116</v>
      </c>
      <c r="B121" s="10" t="s">
        <v>440</v>
      </c>
      <c r="C121" s="200">
        <f>VLOOKUP(MID(B121,1,8)-0,'palkat 1.12.2018'!$B$9:$G$223,3,FALSE)</f>
        <v>3118.61</v>
      </c>
      <c r="D121" s="200">
        <f>VLOOKUP(MID(B121,1,8)-0,'palkat 1.12.2018'!$B$9:$G$223,5,FALSE)</f>
        <v>3088.65</v>
      </c>
      <c r="E121" s="11">
        <f>IF('muut muuttujat'!$G$3=1,C121,KÄYTTÖTAULU!$B$13)</f>
        <v>3118.61</v>
      </c>
      <c r="F121" s="11">
        <f>IF('muut muuttujat'!$G$3=1,D121,KÄYTTÖTAULU!$B$13)</f>
        <v>3088.65</v>
      </c>
      <c r="G121" s="11">
        <f>KÄYTTÖTAULU!$F$6</f>
        <v>0</v>
      </c>
      <c r="H121" s="11">
        <f>KÄYTTÖTAULU!$F$6</f>
        <v>0</v>
      </c>
      <c r="I121" s="11">
        <f t="shared" si="16"/>
        <v>0</v>
      </c>
      <c r="J121" s="11">
        <f>H121*0.83</f>
        <v>0</v>
      </c>
      <c r="K121" s="1" t="e">
        <f>ROUND(I121/KÄYTTÖTAULU!$I$8,2)</f>
        <v>#DIV/0!</v>
      </c>
      <c r="L121" s="1" t="e">
        <f>ROUND(J121/KÄYTTÖTAULU!$I$8,2)</f>
        <v>#DIV/0!</v>
      </c>
      <c r="M121" s="1" t="e">
        <f t="shared" si="17"/>
        <v>#DIV/0!</v>
      </c>
      <c r="N121" s="1" t="e">
        <f t="shared" si="18"/>
        <v>#DIV/0!</v>
      </c>
      <c r="O121" s="11" t="e">
        <f>ROUND(E121*0.83/KÄYTTÖTAULU!$I$8*12/38,2)</f>
        <v>#DIV/0!</v>
      </c>
      <c r="P121" s="11" t="e">
        <f>ROUND(F121*0.83/KÄYTTÖTAULU!$I$8*12/38,2)</f>
        <v>#DIV/0!</v>
      </c>
      <c r="Q121" s="11"/>
      <c r="R121" s="24">
        <v>0</v>
      </c>
      <c r="S121" s="25">
        <v>2</v>
      </c>
      <c r="T121" s="25">
        <v>3</v>
      </c>
      <c r="U121" s="25">
        <v>6</v>
      </c>
      <c r="V121" s="25">
        <v>0</v>
      </c>
      <c r="W121" s="50">
        <v>6</v>
      </c>
      <c r="X121" s="25">
        <v>1</v>
      </c>
      <c r="Y121" s="25">
        <f t="shared" si="19"/>
        <v>1.02</v>
      </c>
      <c r="Z121" s="25">
        <f t="shared" si="20"/>
        <v>1.0506</v>
      </c>
      <c r="AA121" s="25">
        <f t="shared" si="21"/>
        <v>1.113636</v>
      </c>
      <c r="AB121" s="25">
        <f t="shared" si="25"/>
        <v>1.113636</v>
      </c>
      <c r="AC121" s="50">
        <f t="shared" si="23"/>
        <v>1.18045416</v>
      </c>
    </row>
    <row r="122" spans="1:29" ht="12.75">
      <c r="A122" s="1">
        <v>117</v>
      </c>
      <c r="B122" s="10" t="s">
        <v>441</v>
      </c>
      <c r="C122" s="200">
        <f>VLOOKUP(MID(B122,1,8)-0,'palkat 1.12.2018'!$B$9:$G$223,3,FALSE)</f>
        <v>3301.09</v>
      </c>
      <c r="D122" s="200">
        <f>VLOOKUP(MID(B122,1,8)-0,'palkat 1.12.2018'!$B$9:$G$223,5,FALSE)</f>
        <v>3269.76</v>
      </c>
      <c r="E122" s="11">
        <f>IF('muut muuttujat'!$G$3=1,C122,KÄYTTÖTAULU!$B$13)</f>
        <v>3301.09</v>
      </c>
      <c r="F122" s="11">
        <f>IF('muut muuttujat'!$G$3=1,D122,KÄYTTÖTAULU!$B$13)</f>
        <v>3269.76</v>
      </c>
      <c r="G122" s="11">
        <f>KÄYTTÖTAULU!$F$6</f>
        <v>0</v>
      </c>
      <c r="H122" s="11">
        <f>KÄYTTÖTAULU!$F$6</f>
        <v>0</v>
      </c>
      <c r="I122" s="11"/>
      <c r="J122" s="11"/>
      <c r="O122" s="11"/>
      <c r="P122" s="11"/>
      <c r="Q122" s="11"/>
      <c r="R122" s="24">
        <v>0</v>
      </c>
      <c r="S122" s="25">
        <v>2</v>
      </c>
      <c r="T122" s="25">
        <v>4</v>
      </c>
      <c r="U122" s="25">
        <v>6</v>
      </c>
      <c r="V122" s="25">
        <v>4</v>
      </c>
      <c r="W122" s="50">
        <v>6</v>
      </c>
      <c r="X122" s="25">
        <v>1</v>
      </c>
      <c r="Y122" s="25">
        <f t="shared" si="19"/>
        <v>1.02</v>
      </c>
      <c r="Z122" s="25">
        <f t="shared" si="20"/>
        <v>1.0608</v>
      </c>
      <c r="AA122" s="25">
        <f t="shared" si="21"/>
        <v>1.1244480000000001</v>
      </c>
      <c r="AB122" s="25">
        <f t="shared" si="25"/>
        <v>1.1694259200000001</v>
      </c>
      <c r="AC122" s="50">
        <f t="shared" si="23"/>
        <v>1.2395914752000001</v>
      </c>
    </row>
    <row r="123" spans="1:29" ht="12.75">
      <c r="A123" s="1">
        <v>118</v>
      </c>
      <c r="B123" s="10" t="s">
        <v>442</v>
      </c>
      <c r="C123" s="200">
        <f>VLOOKUP(MID(B123,1,8)-0,'palkat 1.12.2018'!$B$9:$G$223,3,FALSE)</f>
        <v>3014.32</v>
      </c>
      <c r="D123" s="200">
        <f>VLOOKUP(MID(B123,1,8)-0,'palkat 1.12.2018'!$B$9:$G$223,5,FALSE)</f>
        <v>2985.71</v>
      </c>
      <c r="E123" s="11">
        <f>IF('muut muuttujat'!$G$3=1,C123,KÄYTTÖTAULU!$B$13)</f>
        <v>3014.32</v>
      </c>
      <c r="F123" s="11">
        <f>IF('muut muuttujat'!$G$3=1,D123,KÄYTTÖTAULU!$B$13)</f>
        <v>2985.71</v>
      </c>
      <c r="G123" s="11">
        <f>KÄYTTÖTAULU!$F$6</f>
        <v>0</v>
      </c>
      <c r="H123" s="11">
        <f>KÄYTTÖTAULU!$F$6</f>
        <v>0</v>
      </c>
      <c r="I123" s="11"/>
      <c r="J123" s="11"/>
      <c r="O123" s="11"/>
      <c r="P123" s="11"/>
      <c r="Q123" s="11"/>
      <c r="R123" s="24">
        <v>0</v>
      </c>
      <c r="S123" s="25">
        <v>2</v>
      </c>
      <c r="T123" s="25">
        <v>4</v>
      </c>
      <c r="U123" s="25">
        <v>6</v>
      </c>
      <c r="V123" s="25">
        <v>4</v>
      </c>
      <c r="W123" s="50">
        <v>6</v>
      </c>
      <c r="X123" s="25">
        <v>1</v>
      </c>
      <c r="Y123" s="25">
        <f t="shared" si="19"/>
        <v>1.02</v>
      </c>
      <c r="Z123" s="25">
        <f t="shared" si="20"/>
        <v>1.0608</v>
      </c>
      <c r="AA123" s="25">
        <f t="shared" si="21"/>
        <v>1.1244480000000001</v>
      </c>
      <c r="AB123" s="25">
        <f t="shared" si="25"/>
        <v>1.1694259200000001</v>
      </c>
      <c r="AC123" s="50">
        <f t="shared" si="23"/>
        <v>1.2395914752000001</v>
      </c>
    </row>
    <row r="124" spans="1:29" ht="12.75">
      <c r="A124" s="1">
        <v>119</v>
      </c>
      <c r="B124" s="10" t="s">
        <v>443</v>
      </c>
      <c r="C124" s="200">
        <f>VLOOKUP(MID(B124,1,8)-0,'palkat 1.12.2018'!$B$9:$G$223,3,FALSE)</f>
        <v>2927.06</v>
      </c>
      <c r="D124" s="200">
        <f>VLOOKUP(MID(B124,1,8)-0,'palkat 1.12.2018'!$B$9:$G$223,5,FALSE)</f>
        <v>2899.32</v>
      </c>
      <c r="E124" s="11">
        <f>IF('muut muuttujat'!$G$3=1,C124,KÄYTTÖTAULU!$B$13)</f>
        <v>2927.06</v>
      </c>
      <c r="F124" s="11">
        <f>IF('muut muuttujat'!$G$3=1,D124,KÄYTTÖTAULU!$B$13)</f>
        <v>2899.32</v>
      </c>
      <c r="G124" s="11">
        <f>KÄYTTÖTAULU!$F$6</f>
        <v>0</v>
      </c>
      <c r="H124" s="11">
        <f>KÄYTTÖTAULU!$F$6</f>
        <v>0</v>
      </c>
      <c r="I124" s="11"/>
      <c r="J124" s="11"/>
      <c r="O124" s="11"/>
      <c r="P124" s="11"/>
      <c r="Q124" s="11"/>
      <c r="R124" s="24">
        <v>0</v>
      </c>
      <c r="S124" s="25">
        <v>2</v>
      </c>
      <c r="T124" s="25">
        <v>4</v>
      </c>
      <c r="U124" s="25">
        <v>6</v>
      </c>
      <c r="V124" s="25">
        <v>4</v>
      </c>
      <c r="W124" s="50">
        <v>6</v>
      </c>
      <c r="X124" s="25">
        <v>1</v>
      </c>
      <c r="Y124" s="25">
        <f t="shared" si="19"/>
        <v>1.02</v>
      </c>
      <c r="Z124" s="25">
        <f t="shared" si="20"/>
        <v>1.0608</v>
      </c>
      <c r="AA124" s="25">
        <f t="shared" si="21"/>
        <v>1.1244480000000001</v>
      </c>
      <c r="AB124" s="25">
        <f t="shared" si="25"/>
        <v>1.1694259200000001</v>
      </c>
      <c r="AC124" s="50">
        <f t="shared" si="23"/>
        <v>1.2395914752000001</v>
      </c>
    </row>
    <row r="125" spans="1:29" ht="12.75">
      <c r="A125" s="1">
        <v>120</v>
      </c>
      <c r="B125" s="134" t="s">
        <v>444</v>
      </c>
      <c r="C125" s="200">
        <f>VLOOKUP(MID(B125,1,8)-0,'palkat 1.12.2018'!$B$9:$G$223,3,FALSE)</f>
        <v>2736.9</v>
      </c>
      <c r="D125" s="200">
        <f>VLOOKUP(MID(B125,1,8)-0,'palkat 1.12.2018'!$B$9:$G$223,5,FALSE)</f>
        <v>2710.91</v>
      </c>
      <c r="E125" s="11">
        <f>IF('muut muuttujat'!$G$3=1,C125,KÄYTTÖTAULU!$B$13)</f>
        <v>2736.9</v>
      </c>
      <c r="F125" s="11">
        <f>IF('muut muuttujat'!$G$3=1,D125,KÄYTTÖTAULU!$B$13)</f>
        <v>2710.91</v>
      </c>
      <c r="G125" s="11">
        <f>KÄYTTÖTAULU!$F$6</f>
        <v>0</v>
      </c>
      <c r="H125" s="11">
        <f>KÄYTTÖTAULU!$F$6</f>
        <v>0</v>
      </c>
      <c r="I125" s="11"/>
      <c r="J125" s="11"/>
      <c r="O125" s="11"/>
      <c r="P125" s="11"/>
      <c r="Q125" s="11"/>
      <c r="R125" s="24">
        <v>0</v>
      </c>
      <c r="S125" s="25">
        <v>2</v>
      </c>
      <c r="T125" s="25">
        <v>4</v>
      </c>
      <c r="U125" s="25">
        <v>6</v>
      </c>
      <c r="V125" s="25">
        <v>4</v>
      </c>
      <c r="W125" s="50">
        <v>6</v>
      </c>
      <c r="X125" s="25">
        <v>1</v>
      </c>
      <c r="Y125" s="25">
        <f t="shared" si="19"/>
        <v>1.02</v>
      </c>
      <c r="Z125" s="25">
        <f t="shared" si="20"/>
        <v>1.0608</v>
      </c>
      <c r="AA125" s="25">
        <f t="shared" si="21"/>
        <v>1.1244480000000001</v>
      </c>
      <c r="AB125" s="25">
        <f t="shared" si="25"/>
        <v>1.1694259200000001</v>
      </c>
      <c r="AC125" s="50">
        <f t="shared" si="23"/>
        <v>1.2395914752000001</v>
      </c>
    </row>
    <row r="126" spans="1:29" ht="12.75">
      <c r="A126" s="1">
        <v>121</v>
      </c>
      <c r="B126" s="10" t="s">
        <v>445</v>
      </c>
      <c r="C126" s="200">
        <f>VLOOKUP(MID(B126,1,8)-0,'palkat 1.12.2018'!$B$9:$G$223,3,FALSE)</f>
        <v>3170.46</v>
      </c>
      <c r="D126" s="200">
        <f>VLOOKUP(MID(B126,1,8)-0,'palkat 1.12.2018'!$B$9:$G$223,5,FALSE)</f>
        <v>3140.38</v>
      </c>
      <c r="E126" s="11">
        <f>IF('muut muuttujat'!$G$3=1,C126,KÄYTTÖTAULU!$B$13)</f>
        <v>3170.46</v>
      </c>
      <c r="F126" s="11">
        <f>IF('muut muuttujat'!$G$3=1,D126,KÄYTTÖTAULU!$B$13)</f>
        <v>3140.38</v>
      </c>
      <c r="G126" s="11">
        <f>KÄYTTÖTAULU!$F$6</f>
        <v>0</v>
      </c>
      <c r="H126" s="11">
        <f>KÄYTTÖTAULU!$F$6</f>
        <v>0</v>
      </c>
      <c r="I126" s="11"/>
      <c r="J126" s="11"/>
      <c r="O126" s="11"/>
      <c r="P126" s="11"/>
      <c r="Q126" s="11"/>
      <c r="R126" s="24">
        <v>0</v>
      </c>
      <c r="S126" s="25">
        <v>2</v>
      </c>
      <c r="T126" s="25">
        <v>4</v>
      </c>
      <c r="U126" s="25">
        <v>6</v>
      </c>
      <c r="V126" s="25">
        <v>4</v>
      </c>
      <c r="W126" s="50">
        <v>6</v>
      </c>
      <c r="X126" s="25">
        <v>1</v>
      </c>
      <c r="Y126" s="25">
        <f t="shared" si="19"/>
        <v>1.02</v>
      </c>
      <c r="Z126" s="25">
        <f t="shared" si="20"/>
        <v>1.0608</v>
      </c>
      <c r="AA126" s="25">
        <f t="shared" si="21"/>
        <v>1.1244480000000001</v>
      </c>
      <c r="AB126" s="25">
        <f t="shared" si="25"/>
        <v>1.1694259200000001</v>
      </c>
      <c r="AC126" s="50">
        <f t="shared" si="23"/>
        <v>1.2395914752000001</v>
      </c>
    </row>
    <row r="127" spans="1:29" ht="12.75">
      <c r="A127" s="1">
        <v>122</v>
      </c>
      <c r="B127" s="10" t="s">
        <v>446</v>
      </c>
      <c r="C127" s="200">
        <f>VLOOKUP(MID(B127,1,8)-0,'palkat 1.12.2018'!$B$9:$G$223,3,FALSE)</f>
        <v>2927.06</v>
      </c>
      <c r="D127" s="200">
        <f>VLOOKUP(MID(B127,1,8)-0,'palkat 1.12.2018'!$B$9:$G$223,5,FALSE)</f>
        <v>2899.32</v>
      </c>
      <c r="E127" s="11">
        <f>IF('muut muuttujat'!$G$3=1,C127,KÄYTTÖTAULU!$B$13)</f>
        <v>2927.06</v>
      </c>
      <c r="F127" s="11">
        <f>IF('muut muuttujat'!$G$3=1,D127,KÄYTTÖTAULU!$B$13)</f>
        <v>2899.32</v>
      </c>
      <c r="G127" s="11">
        <f>KÄYTTÖTAULU!$F$6</f>
        <v>0</v>
      </c>
      <c r="H127" s="11">
        <f>KÄYTTÖTAULU!$F$6</f>
        <v>0</v>
      </c>
      <c r="I127" s="11"/>
      <c r="J127" s="11"/>
      <c r="O127" s="11"/>
      <c r="P127" s="11"/>
      <c r="Q127" s="11"/>
      <c r="R127" s="24">
        <v>0</v>
      </c>
      <c r="S127" s="25">
        <v>2</v>
      </c>
      <c r="T127" s="25">
        <v>4</v>
      </c>
      <c r="U127" s="25">
        <v>6</v>
      </c>
      <c r="V127" s="25">
        <v>4</v>
      </c>
      <c r="W127" s="50">
        <v>6</v>
      </c>
      <c r="X127" s="25">
        <v>1</v>
      </c>
      <c r="Y127" s="25">
        <f t="shared" si="19"/>
        <v>1.02</v>
      </c>
      <c r="Z127" s="25">
        <f t="shared" si="20"/>
        <v>1.0608</v>
      </c>
      <c r="AA127" s="25">
        <f t="shared" si="21"/>
        <v>1.1244480000000001</v>
      </c>
      <c r="AB127" s="25">
        <f t="shared" si="25"/>
        <v>1.1694259200000001</v>
      </c>
      <c r="AC127" s="50">
        <f t="shared" si="23"/>
        <v>1.2395914752000001</v>
      </c>
    </row>
    <row r="128" spans="1:29" ht="12.75">
      <c r="A128" s="1">
        <v>123</v>
      </c>
      <c r="B128" s="10" t="s">
        <v>447</v>
      </c>
      <c r="C128" s="200">
        <f>VLOOKUP(MID(B128,1,8)-0,'palkat 1.12.2018'!$B$9:$G$223,3,FALSE)</f>
        <v>3301.09</v>
      </c>
      <c r="D128" s="200">
        <f>VLOOKUP(MID(B128,1,8)-0,'palkat 1.12.2018'!$B$9:$G$223,5,FALSE)</f>
        <v>3269.76</v>
      </c>
      <c r="E128" s="11">
        <f>IF('muut muuttujat'!$G$3=1,C128,KÄYTTÖTAULU!$B$13)</f>
        <v>3301.09</v>
      </c>
      <c r="F128" s="11">
        <f>IF('muut muuttujat'!$G$3=1,D128,KÄYTTÖTAULU!$B$13)</f>
        <v>3269.76</v>
      </c>
      <c r="G128" s="11">
        <f>KÄYTTÖTAULU!$F$6</f>
        <v>0</v>
      </c>
      <c r="H128" s="11">
        <f>KÄYTTÖTAULU!$F$6</f>
        <v>0</v>
      </c>
      <c r="I128" s="11">
        <f t="shared" si="16"/>
        <v>0</v>
      </c>
      <c r="J128" s="11">
        <f aca="true" t="shared" si="27" ref="J128:J133">H128*0.83</f>
        <v>0</v>
      </c>
      <c r="K128" s="1" t="e">
        <f>ROUND(I128/KÄYTTÖTAULU!$I$8,2)</f>
        <v>#DIV/0!</v>
      </c>
      <c r="L128" s="1" t="e">
        <f>ROUND(J128/KÄYTTÖTAULU!$I$8,2)</f>
        <v>#DIV/0!</v>
      </c>
      <c r="M128" s="1" t="e">
        <f t="shared" si="17"/>
        <v>#DIV/0!</v>
      </c>
      <c r="N128" s="1" t="e">
        <f t="shared" si="18"/>
        <v>#DIV/0!</v>
      </c>
      <c r="O128" s="11" t="e">
        <f>ROUND(E128*0.83/KÄYTTÖTAULU!$I$8*12/39,2)</f>
        <v>#DIV/0!</v>
      </c>
      <c r="P128" s="11" t="e">
        <f>ROUND(F128*0.83/KÄYTTÖTAULU!$I$8*12/39,2)</f>
        <v>#DIV/0!</v>
      </c>
      <c r="Q128" s="11"/>
      <c r="R128" s="24">
        <v>0</v>
      </c>
      <c r="S128" s="25">
        <v>2</v>
      </c>
      <c r="T128" s="25">
        <v>4</v>
      </c>
      <c r="U128" s="25">
        <v>6</v>
      </c>
      <c r="V128" s="25">
        <v>4</v>
      </c>
      <c r="W128" s="50">
        <v>6</v>
      </c>
      <c r="X128" s="25">
        <v>1</v>
      </c>
      <c r="Y128" s="25">
        <f t="shared" si="19"/>
        <v>1.02</v>
      </c>
      <c r="Z128" s="25">
        <f t="shared" si="20"/>
        <v>1.0608</v>
      </c>
      <c r="AA128" s="25">
        <f t="shared" si="21"/>
        <v>1.1244480000000001</v>
      </c>
      <c r="AB128" s="25">
        <f t="shared" si="25"/>
        <v>1.1694259200000001</v>
      </c>
      <c r="AC128" s="50">
        <f t="shared" si="23"/>
        <v>1.2395914752000001</v>
      </c>
    </row>
    <row r="129" spans="1:29" ht="12.75">
      <c r="A129" s="1">
        <v>124</v>
      </c>
      <c r="B129" s="10" t="s">
        <v>448</v>
      </c>
      <c r="C129" s="200">
        <f>VLOOKUP(MID(B129,1,8)-0,'palkat 1.12.2018'!$B$9:$G$223,3,FALSE)</f>
        <v>3014.32</v>
      </c>
      <c r="D129" s="200">
        <f>VLOOKUP(MID(B129,1,8)-0,'palkat 1.12.2018'!$B$9:$G$223,5,FALSE)</f>
        <v>2985.71</v>
      </c>
      <c r="E129" s="11">
        <f>IF('muut muuttujat'!$G$3=1,C129,KÄYTTÖTAULU!$B$13)</f>
        <v>3014.32</v>
      </c>
      <c r="F129" s="11">
        <f>IF('muut muuttujat'!$G$3=1,D129,KÄYTTÖTAULU!$B$13)</f>
        <v>2985.71</v>
      </c>
      <c r="G129" s="11">
        <f>KÄYTTÖTAULU!$F$6</f>
        <v>0</v>
      </c>
      <c r="H129" s="11">
        <f>KÄYTTÖTAULU!$F$6</f>
        <v>0</v>
      </c>
      <c r="I129" s="11">
        <f t="shared" si="16"/>
        <v>0</v>
      </c>
      <c r="J129" s="11">
        <f t="shared" si="27"/>
        <v>0</v>
      </c>
      <c r="K129" s="1" t="e">
        <f>ROUND(I129/KÄYTTÖTAULU!$I$8,2)</f>
        <v>#DIV/0!</v>
      </c>
      <c r="L129" s="1" t="e">
        <f>ROUND(J129/KÄYTTÖTAULU!$I$8,2)</f>
        <v>#DIV/0!</v>
      </c>
      <c r="M129" s="1" t="e">
        <f t="shared" si="17"/>
        <v>#DIV/0!</v>
      </c>
      <c r="N129" s="1" t="e">
        <f t="shared" si="18"/>
        <v>#DIV/0!</v>
      </c>
      <c r="O129" s="11" t="e">
        <f>ROUND(E129*0.83/KÄYTTÖTAULU!$I$8*12/39,2)</f>
        <v>#DIV/0!</v>
      </c>
      <c r="P129" s="11" t="e">
        <f>ROUND(F129*0.83/KÄYTTÖTAULU!$I$8*12/39,2)</f>
        <v>#DIV/0!</v>
      </c>
      <c r="Q129" s="11"/>
      <c r="R129" s="24">
        <v>0</v>
      </c>
      <c r="S129" s="25">
        <v>2</v>
      </c>
      <c r="T129" s="25">
        <v>4</v>
      </c>
      <c r="U129" s="25">
        <v>6</v>
      </c>
      <c r="V129" s="25">
        <v>4</v>
      </c>
      <c r="W129" s="50">
        <v>6</v>
      </c>
      <c r="X129" s="25">
        <v>1</v>
      </c>
      <c r="Y129" s="25">
        <f t="shared" si="19"/>
        <v>1.02</v>
      </c>
      <c r="Z129" s="25">
        <f t="shared" si="20"/>
        <v>1.0608</v>
      </c>
      <c r="AA129" s="25">
        <f t="shared" si="21"/>
        <v>1.1244480000000001</v>
      </c>
      <c r="AB129" s="25">
        <f t="shared" si="25"/>
        <v>1.1694259200000001</v>
      </c>
      <c r="AC129" s="50">
        <f t="shared" si="23"/>
        <v>1.2395914752000001</v>
      </c>
    </row>
    <row r="130" spans="1:29" ht="12.75">
      <c r="A130" s="1">
        <v>125</v>
      </c>
      <c r="B130" s="10" t="s">
        <v>449</v>
      </c>
      <c r="C130" s="200">
        <f>VLOOKUP(MID(B130,1,8)-0,'palkat 1.12.2018'!$B$9:$G$223,3,FALSE)</f>
        <v>2927.06</v>
      </c>
      <c r="D130" s="200">
        <f>VLOOKUP(MID(B130,1,8)-0,'palkat 1.12.2018'!$B$9:$G$223,5,FALSE)</f>
        <v>2899.32</v>
      </c>
      <c r="E130" s="11">
        <f>IF('muut muuttujat'!$G$3=1,C130,KÄYTTÖTAULU!$B$13)</f>
        <v>2927.06</v>
      </c>
      <c r="F130" s="11">
        <f>IF('muut muuttujat'!$G$3=1,D130,KÄYTTÖTAULU!$B$13)</f>
        <v>2899.32</v>
      </c>
      <c r="G130" s="11">
        <f>KÄYTTÖTAULU!$F$6</f>
        <v>0</v>
      </c>
      <c r="H130" s="11">
        <f>KÄYTTÖTAULU!$F$6</f>
        <v>0</v>
      </c>
      <c r="I130" s="11">
        <f t="shared" si="16"/>
        <v>0</v>
      </c>
      <c r="J130" s="11">
        <f t="shared" si="27"/>
        <v>0</v>
      </c>
      <c r="K130" s="1" t="e">
        <f>ROUND(I130/KÄYTTÖTAULU!$I$8,2)</f>
        <v>#DIV/0!</v>
      </c>
      <c r="L130" s="1" t="e">
        <f>ROUND(J130/KÄYTTÖTAULU!$I$8,2)</f>
        <v>#DIV/0!</v>
      </c>
      <c r="M130" s="1" t="e">
        <f t="shared" si="17"/>
        <v>#DIV/0!</v>
      </c>
      <c r="N130" s="1" t="e">
        <f t="shared" si="18"/>
        <v>#DIV/0!</v>
      </c>
      <c r="O130" s="11" t="e">
        <f>ROUND(E130*0.83/KÄYTTÖTAULU!$I$8*12/39,2)</f>
        <v>#DIV/0!</v>
      </c>
      <c r="P130" s="11" t="e">
        <f>ROUND(F130*0.83/KÄYTTÖTAULU!$I$8*12/39,2)</f>
        <v>#DIV/0!</v>
      </c>
      <c r="Q130" s="11"/>
      <c r="R130" s="24">
        <v>0</v>
      </c>
      <c r="S130" s="25">
        <v>2</v>
      </c>
      <c r="T130" s="25">
        <v>4</v>
      </c>
      <c r="U130" s="25">
        <v>6</v>
      </c>
      <c r="V130" s="25">
        <v>4</v>
      </c>
      <c r="W130" s="50">
        <v>6</v>
      </c>
      <c r="X130" s="25">
        <v>1</v>
      </c>
      <c r="Y130" s="25">
        <f t="shared" si="19"/>
        <v>1.02</v>
      </c>
      <c r="Z130" s="25">
        <f t="shared" si="20"/>
        <v>1.0608</v>
      </c>
      <c r="AA130" s="25">
        <f t="shared" si="21"/>
        <v>1.1244480000000001</v>
      </c>
      <c r="AB130" s="25">
        <f t="shared" si="25"/>
        <v>1.1694259200000001</v>
      </c>
      <c r="AC130" s="50">
        <f t="shared" si="23"/>
        <v>1.2395914752000001</v>
      </c>
    </row>
    <row r="131" spans="1:29" ht="12.75">
      <c r="A131" s="1">
        <v>126</v>
      </c>
      <c r="B131" s="134" t="s">
        <v>450</v>
      </c>
      <c r="C131" s="200">
        <f>VLOOKUP(MID(B131,1,8)-0,'palkat 1.12.2018'!$B$9:$G$223,3,FALSE)</f>
        <v>2736.9</v>
      </c>
      <c r="D131" s="200">
        <f>VLOOKUP(MID(B131,1,8)-0,'palkat 1.12.2018'!$B$9:$G$223,5,FALSE)</f>
        <v>2710.91</v>
      </c>
      <c r="E131" s="11">
        <f>IF('muut muuttujat'!$G$3=1,C131,KÄYTTÖTAULU!$B$13)</f>
        <v>2736.9</v>
      </c>
      <c r="F131" s="11">
        <f>IF('muut muuttujat'!$G$3=1,D131,KÄYTTÖTAULU!$B$13)</f>
        <v>2710.91</v>
      </c>
      <c r="G131" s="11">
        <f>KÄYTTÖTAULU!$F$6</f>
        <v>0</v>
      </c>
      <c r="H131" s="11">
        <f>KÄYTTÖTAULU!$F$6</f>
        <v>0</v>
      </c>
      <c r="I131" s="11">
        <f t="shared" si="16"/>
        <v>0</v>
      </c>
      <c r="J131" s="11">
        <f t="shared" si="27"/>
        <v>0</v>
      </c>
      <c r="K131" s="1" t="e">
        <f>ROUND(I131/KÄYTTÖTAULU!$I$8,2)</f>
        <v>#DIV/0!</v>
      </c>
      <c r="L131" s="1" t="e">
        <f>ROUND(J131/KÄYTTÖTAULU!$I$8,2)</f>
        <v>#DIV/0!</v>
      </c>
      <c r="M131" s="1" t="e">
        <f t="shared" si="17"/>
        <v>#DIV/0!</v>
      </c>
      <c r="N131" s="1" t="e">
        <f t="shared" si="18"/>
        <v>#DIV/0!</v>
      </c>
      <c r="O131" s="11" t="e">
        <f>ROUND(E131*0.83/KÄYTTÖTAULU!$I$8*12/39,2)</f>
        <v>#DIV/0!</v>
      </c>
      <c r="P131" s="11" t="e">
        <f>ROUND(F131*0.83/KÄYTTÖTAULU!$I$8*12/39,2)</f>
        <v>#DIV/0!</v>
      </c>
      <c r="Q131" s="11"/>
      <c r="R131" s="24">
        <v>0</v>
      </c>
      <c r="S131" s="25">
        <v>2</v>
      </c>
      <c r="T131" s="25">
        <v>4</v>
      </c>
      <c r="U131" s="25">
        <v>6</v>
      </c>
      <c r="V131" s="25">
        <v>4</v>
      </c>
      <c r="W131" s="50">
        <v>6</v>
      </c>
      <c r="X131" s="25">
        <v>1</v>
      </c>
      <c r="Y131" s="25">
        <f t="shared" si="19"/>
        <v>1.02</v>
      </c>
      <c r="Z131" s="25">
        <f t="shared" si="20"/>
        <v>1.0608</v>
      </c>
      <c r="AA131" s="25">
        <f t="shared" si="21"/>
        <v>1.1244480000000001</v>
      </c>
      <c r="AB131" s="25">
        <f t="shared" si="25"/>
        <v>1.1694259200000001</v>
      </c>
      <c r="AC131" s="50">
        <f t="shared" si="23"/>
        <v>1.2395914752000001</v>
      </c>
    </row>
    <row r="132" spans="1:29" ht="12.75">
      <c r="A132" s="1">
        <v>127</v>
      </c>
      <c r="B132" s="10" t="s">
        <v>451</v>
      </c>
      <c r="C132" s="200">
        <f>VLOOKUP(MID(B132,1,8)-0,'palkat 1.12.2018'!$B$9:$G$223,3,FALSE)</f>
        <v>3170.46</v>
      </c>
      <c r="D132" s="200">
        <f>VLOOKUP(MID(B132,1,8)-0,'palkat 1.12.2018'!$B$9:$G$223,5,FALSE)</f>
        <v>3140.38</v>
      </c>
      <c r="E132" s="11">
        <f>IF('muut muuttujat'!$G$3=1,C132,KÄYTTÖTAULU!$B$13)</f>
        <v>3170.46</v>
      </c>
      <c r="F132" s="11">
        <f>IF('muut muuttujat'!$G$3=1,D132,KÄYTTÖTAULU!$B$13)</f>
        <v>3140.38</v>
      </c>
      <c r="G132" s="11">
        <f>KÄYTTÖTAULU!$F$6</f>
        <v>0</v>
      </c>
      <c r="H132" s="11">
        <f>KÄYTTÖTAULU!$F$6</f>
        <v>0</v>
      </c>
      <c r="I132" s="11">
        <f aca="true" t="shared" si="28" ref="I132:I171">G132*0.83</f>
        <v>0</v>
      </c>
      <c r="J132" s="11">
        <f t="shared" si="27"/>
        <v>0</v>
      </c>
      <c r="K132" s="1" t="e">
        <f>ROUND(I132/KÄYTTÖTAULU!$I$8,2)</f>
        <v>#DIV/0!</v>
      </c>
      <c r="L132" s="1" t="e">
        <f>ROUND(J132/KÄYTTÖTAULU!$I$8,2)</f>
        <v>#DIV/0!</v>
      </c>
      <c r="M132" s="1" t="e">
        <f>ROUND(K132*(12/38),2)</f>
        <v>#DIV/0!</v>
      </c>
      <c r="N132" s="1" t="e">
        <f>ROUND(L132*(12/38),2)</f>
        <v>#DIV/0!</v>
      </c>
      <c r="O132" s="11" t="e">
        <f>ROUND(E132*0.83/KÄYTTÖTAULU!$I$8*12/39,2)</f>
        <v>#DIV/0!</v>
      </c>
      <c r="P132" s="11" t="e">
        <f>ROUND(F132*0.83/KÄYTTÖTAULU!$I$8*12/39,2)</f>
        <v>#DIV/0!</v>
      </c>
      <c r="Q132" s="11"/>
      <c r="R132" s="24">
        <v>0</v>
      </c>
      <c r="S132" s="25">
        <v>2</v>
      </c>
      <c r="T132" s="25">
        <v>4</v>
      </c>
      <c r="U132" s="25">
        <v>6</v>
      </c>
      <c r="V132" s="25">
        <v>4</v>
      </c>
      <c r="W132" s="50">
        <v>6</v>
      </c>
      <c r="X132" s="25">
        <v>1</v>
      </c>
      <c r="Y132" s="25">
        <f>1+S132/100</f>
        <v>1.02</v>
      </c>
      <c r="Z132" s="25">
        <f aca="true" t="shared" si="29" ref="Z132:AA134">(1+T132/100)*Y132</f>
        <v>1.0608</v>
      </c>
      <c r="AA132" s="25">
        <f t="shared" si="29"/>
        <v>1.1244480000000001</v>
      </c>
      <c r="AB132" s="25">
        <f t="shared" si="25"/>
        <v>1.1694259200000001</v>
      </c>
      <c r="AC132" s="50">
        <f>(1+W132/100)*AB132</f>
        <v>1.2395914752000001</v>
      </c>
    </row>
    <row r="133" spans="1:29" ht="12.75">
      <c r="A133" s="1">
        <v>128</v>
      </c>
      <c r="B133" s="10" t="s">
        <v>452</v>
      </c>
      <c r="C133" s="200">
        <f>VLOOKUP(MID(B133,1,8)-0,'palkat 1.12.2018'!$B$9:$G$223,3,FALSE)</f>
        <v>2927.06</v>
      </c>
      <c r="D133" s="200">
        <f>VLOOKUP(MID(B133,1,8)-0,'palkat 1.12.2018'!$B$9:$G$223,5,FALSE)</f>
        <v>2899.32</v>
      </c>
      <c r="E133" s="11">
        <f>IF('muut muuttujat'!$G$3=1,C133,KÄYTTÖTAULU!$B$13)</f>
        <v>2927.06</v>
      </c>
      <c r="F133" s="11">
        <f>IF('muut muuttujat'!$G$3=1,D133,KÄYTTÖTAULU!$B$13)</f>
        <v>2899.32</v>
      </c>
      <c r="G133" s="11">
        <f>KÄYTTÖTAULU!$F$6</f>
        <v>0</v>
      </c>
      <c r="H133" s="11">
        <f>KÄYTTÖTAULU!$F$6</f>
        <v>0</v>
      </c>
      <c r="I133" s="11">
        <f t="shared" si="28"/>
        <v>0</v>
      </c>
      <c r="J133" s="11">
        <f t="shared" si="27"/>
        <v>0</v>
      </c>
      <c r="K133" s="1" t="e">
        <f>ROUND(I133/KÄYTTÖTAULU!$I$8,2)</f>
        <v>#DIV/0!</v>
      </c>
      <c r="L133" s="1" t="e">
        <f>ROUND(J133/KÄYTTÖTAULU!$I$8,2)</f>
        <v>#DIV/0!</v>
      </c>
      <c r="M133" s="1" t="e">
        <f>ROUND(K133*(12/38),2)</f>
        <v>#DIV/0!</v>
      </c>
      <c r="N133" s="1" t="e">
        <f>ROUND(L133*(12/38),2)</f>
        <v>#DIV/0!</v>
      </c>
      <c r="O133" s="11" t="e">
        <f>ROUND(E133*0.83/KÄYTTÖTAULU!$I$8*12/39,2)</f>
        <v>#DIV/0!</v>
      </c>
      <c r="P133" s="11" t="e">
        <f>ROUND(F133*0.83/KÄYTTÖTAULU!$I$8*12/39,2)</f>
        <v>#DIV/0!</v>
      </c>
      <c r="Q133" s="11"/>
      <c r="R133" s="24">
        <v>0</v>
      </c>
      <c r="S133" s="25">
        <v>2</v>
      </c>
      <c r="T133" s="25">
        <v>4</v>
      </c>
      <c r="U133" s="25">
        <v>6</v>
      </c>
      <c r="V133" s="25">
        <v>4</v>
      </c>
      <c r="W133" s="50">
        <v>6</v>
      </c>
      <c r="X133" s="25">
        <v>1</v>
      </c>
      <c r="Y133" s="25">
        <f>1+S133/100</f>
        <v>1.02</v>
      </c>
      <c r="Z133" s="25">
        <f t="shared" si="29"/>
        <v>1.0608</v>
      </c>
      <c r="AA133" s="25">
        <f t="shared" si="29"/>
        <v>1.1244480000000001</v>
      </c>
      <c r="AB133" s="25">
        <f t="shared" si="25"/>
        <v>1.1694259200000001</v>
      </c>
      <c r="AC133" s="50">
        <f>(1+W133/100)*AB133</f>
        <v>1.2395914752000001</v>
      </c>
    </row>
    <row r="134" spans="1:29" ht="12.75">
      <c r="A134" s="1">
        <v>129</v>
      </c>
      <c r="B134" s="10" t="s">
        <v>453</v>
      </c>
      <c r="C134" s="200">
        <f>VLOOKUP(MID(B134,1,8)-0,'palkat 1.12.2018'!$B$9:$G$223,3,FALSE)</f>
        <v>2850.38</v>
      </c>
      <c r="D134" s="200">
        <f>VLOOKUP(MID(B134,1,8)-0,'palkat 1.12.2018'!$B$9:$G$223,5,FALSE)</f>
        <v>2823.28</v>
      </c>
      <c r="E134" s="11">
        <f>IF('muut muuttujat'!$G$3=1,C134,KÄYTTÖTAULU!$B$13)</f>
        <v>2850.38</v>
      </c>
      <c r="F134" s="11">
        <f>IF('muut muuttujat'!$G$3=1,D134,KÄYTTÖTAULU!$B$13)</f>
        <v>2823.28</v>
      </c>
      <c r="G134" s="11">
        <f>KÄYTTÖTAULU!$F$6</f>
        <v>0</v>
      </c>
      <c r="H134" s="11">
        <f>KÄYTTÖTAULU!$F$6</f>
        <v>0</v>
      </c>
      <c r="I134" s="11"/>
      <c r="J134" s="11"/>
      <c r="O134" s="11"/>
      <c r="P134" s="11"/>
      <c r="Q134" s="11"/>
      <c r="R134" s="24">
        <v>0</v>
      </c>
      <c r="S134" s="25">
        <v>6</v>
      </c>
      <c r="T134" s="25">
        <v>4</v>
      </c>
      <c r="U134" s="25">
        <v>6</v>
      </c>
      <c r="V134" s="25">
        <v>6</v>
      </c>
      <c r="W134" s="50">
        <v>6</v>
      </c>
      <c r="X134" s="25">
        <v>1</v>
      </c>
      <c r="Y134" s="25">
        <f>1+S134/100</f>
        <v>1.06</v>
      </c>
      <c r="Z134" s="25">
        <f t="shared" si="29"/>
        <v>1.1024</v>
      </c>
      <c r="AA134" s="25">
        <f t="shared" si="29"/>
        <v>1.168544</v>
      </c>
      <c r="AB134" s="25">
        <f t="shared" si="25"/>
        <v>1.23865664</v>
      </c>
      <c r="AC134" s="50">
        <f>(1+W134/100)*AB134</f>
        <v>1.3129760384000002</v>
      </c>
    </row>
    <row r="135" spans="1:29" ht="12.75">
      <c r="A135" s="1">
        <v>130</v>
      </c>
      <c r="B135" s="10" t="s">
        <v>454</v>
      </c>
      <c r="C135" s="200">
        <f>VLOOKUP(MID(B135,1,8)-0,'palkat 1.12.2018'!$B$9:$G$223,3,FALSE)</f>
        <v>3110.21</v>
      </c>
      <c r="D135" s="200">
        <f>VLOOKUP(MID(B135,1,8)-0,'palkat 1.12.2018'!$B$9:$G$223,5,FALSE)</f>
        <v>3080.69</v>
      </c>
      <c r="E135" s="11">
        <f>IF('muut muuttujat'!$G$3=1,C135,KÄYTTÖTAULU!$B$13)</f>
        <v>3110.21</v>
      </c>
      <c r="F135" s="11">
        <f>IF('muut muuttujat'!$G$3=1,D135,KÄYTTÖTAULU!$B$13)</f>
        <v>3080.69</v>
      </c>
      <c r="G135" s="11">
        <f>KÄYTTÖTAULU!$F$6</f>
        <v>0</v>
      </c>
      <c r="H135" s="11">
        <f>KÄYTTÖTAULU!$F$6</f>
        <v>0</v>
      </c>
      <c r="I135" s="11">
        <f t="shared" si="28"/>
        <v>0</v>
      </c>
      <c r="J135" s="11">
        <f>H135*0.83</f>
        <v>0</v>
      </c>
      <c r="K135" s="1" t="e">
        <f>ROUND(I135/KÄYTTÖTAULU!$I$8,2)</f>
        <v>#DIV/0!</v>
      </c>
      <c r="L135" s="1" t="e">
        <f>ROUND(J135/KÄYTTÖTAULU!$I$8,2)</f>
        <v>#DIV/0!</v>
      </c>
      <c r="M135" s="1" t="e">
        <f aca="true" t="shared" si="30" ref="M135:M148">ROUND(K135*(12/38),2)</f>
        <v>#DIV/0!</v>
      </c>
      <c r="N135" s="1" t="e">
        <f aca="true" t="shared" si="31" ref="N135:N148">ROUND(L135*(12/38),2)</f>
        <v>#DIV/0!</v>
      </c>
      <c r="O135" s="11"/>
      <c r="P135" s="11"/>
      <c r="Q135" s="11"/>
      <c r="R135" s="24">
        <v>0</v>
      </c>
      <c r="S135" s="25">
        <v>6</v>
      </c>
      <c r="T135" s="25">
        <v>4</v>
      </c>
      <c r="U135" s="25">
        <v>6</v>
      </c>
      <c r="V135" s="25">
        <v>6</v>
      </c>
      <c r="W135" s="50">
        <v>6</v>
      </c>
      <c r="X135" s="25">
        <v>1</v>
      </c>
      <c r="Y135" s="25">
        <f aca="true" t="shared" si="32" ref="Y135:Y171">1+S135/100</f>
        <v>1.06</v>
      </c>
      <c r="Z135" s="25">
        <f aca="true" t="shared" si="33" ref="Z135:Z171">(1+T135/100)*Y135</f>
        <v>1.1024</v>
      </c>
      <c r="AA135" s="25">
        <f aca="true" t="shared" si="34" ref="AA135:AA171">(1+U135/100)*Z135</f>
        <v>1.168544</v>
      </c>
      <c r="AB135" s="25">
        <f aca="true" t="shared" si="35" ref="AB135:AC148">(1+V135/100)*AA135</f>
        <v>1.23865664</v>
      </c>
      <c r="AC135" s="50">
        <f t="shared" si="35"/>
        <v>1.3129760384000002</v>
      </c>
    </row>
    <row r="136" spans="1:29" ht="12.75">
      <c r="A136" s="1">
        <v>131</v>
      </c>
      <c r="B136" s="10" t="s">
        <v>455</v>
      </c>
      <c r="C136" s="200">
        <f>VLOOKUP(MID(B136,1,8)-0,'palkat 1.12.2018'!$B$9:$G$223,3,FALSE)</f>
        <v>2913.78</v>
      </c>
      <c r="D136" s="200">
        <f>VLOOKUP(MID(B136,1,8)-0,'palkat 1.12.2018'!$B$9:$G$223,5,FALSE)</f>
        <v>2886.13</v>
      </c>
      <c r="E136" s="11">
        <f>IF('muut muuttujat'!$G$3=1,C136,KÄYTTÖTAULU!$B$13)</f>
        <v>2913.78</v>
      </c>
      <c r="F136" s="11">
        <f>IF('muut muuttujat'!$G$3=1,D136,KÄYTTÖTAULU!$B$13)</f>
        <v>2886.13</v>
      </c>
      <c r="G136" s="11">
        <f>KÄYTTÖTAULU!$F$6</f>
        <v>0</v>
      </c>
      <c r="H136" s="11">
        <f>KÄYTTÖTAULU!$F$6</f>
        <v>0</v>
      </c>
      <c r="I136" s="11">
        <f t="shared" si="28"/>
        <v>0</v>
      </c>
      <c r="J136" s="11">
        <f aca="true" t="shared" si="36" ref="J136:J148">H136*0.83</f>
        <v>0</v>
      </c>
      <c r="K136" s="1" t="e">
        <f>ROUND(I136/KÄYTTÖTAULU!$I$8,2)</f>
        <v>#DIV/0!</v>
      </c>
      <c r="L136" s="1" t="e">
        <f>ROUND(J136/KÄYTTÖTAULU!$I$8,2)</f>
        <v>#DIV/0!</v>
      </c>
      <c r="M136" s="1" t="e">
        <f t="shared" si="30"/>
        <v>#DIV/0!</v>
      </c>
      <c r="N136" s="1" t="e">
        <f t="shared" si="31"/>
        <v>#DIV/0!</v>
      </c>
      <c r="O136" s="11"/>
      <c r="P136" s="11"/>
      <c r="Q136" s="11"/>
      <c r="R136" s="24">
        <v>0</v>
      </c>
      <c r="S136" s="25">
        <v>6</v>
      </c>
      <c r="T136" s="25">
        <v>4</v>
      </c>
      <c r="U136" s="25">
        <v>6</v>
      </c>
      <c r="V136" s="25">
        <v>6</v>
      </c>
      <c r="W136" s="50">
        <v>6</v>
      </c>
      <c r="X136" s="25">
        <v>1</v>
      </c>
      <c r="Y136" s="25">
        <f t="shared" si="32"/>
        <v>1.06</v>
      </c>
      <c r="Z136" s="25">
        <f t="shared" si="33"/>
        <v>1.1024</v>
      </c>
      <c r="AA136" s="25">
        <f t="shared" si="34"/>
        <v>1.168544</v>
      </c>
      <c r="AB136" s="25">
        <f t="shared" si="35"/>
        <v>1.23865664</v>
      </c>
      <c r="AC136" s="50">
        <f aca="true" t="shared" si="37" ref="AC136:AC171">(1+W136/100)*AB136</f>
        <v>1.3129760384000002</v>
      </c>
    </row>
    <row r="137" spans="1:29" ht="12.75">
      <c r="A137" s="1">
        <v>132</v>
      </c>
      <c r="B137" s="10" t="s">
        <v>456</v>
      </c>
      <c r="C137" s="200">
        <f>VLOOKUP(MID(B137,1,8)-0,'palkat 1.12.2018'!$B$9:$G$223,3,FALSE)</f>
        <v>2328.49</v>
      </c>
      <c r="D137" s="200">
        <f>VLOOKUP(MID(B137,1,8)-0,'palkat 1.12.2018'!$B$9:$G$223,5,FALSE)</f>
        <v>2306.39</v>
      </c>
      <c r="E137" s="11">
        <f>IF('muut muuttujat'!$G$3=1,C137,KÄYTTÖTAULU!$B$13)</f>
        <v>2328.49</v>
      </c>
      <c r="F137" s="11">
        <f>IF('muut muuttujat'!$G$3=1,D137,KÄYTTÖTAULU!$B$13)</f>
        <v>2306.39</v>
      </c>
      <c r="G137" s="11">
        <f>KÄYTTÖTAULU!$F$6</f>
        <v>0</v>
      </c>
      <c r="H137" s="11">
        <f>KÄYTTÖTAULU!$F$6</f>
        <v>0</v>
      </c>
      <c r="I137" s="11">
        <f t="shared" si="28"/>
        <v>0</v>
      </c>
      <c r="J137" s="11">
        <f t="shared" si="36"/>
        <v>0</v>
      </c>
      <c r="K137" s="1" t="e">
        <f>ROUND(I137/KÄYTTÖTAULU!$I$8,2)</f>
        <v>#DIV/0!</v>
      </c>
      <c r="L137" s="1" t="e">
        <f>ROUND(J137/KÄYTTÖTAULU!$I$8,2)</f>
        <v>#DIV/0!</v>
      </c>
      <c r="M137" s="1" t="e">
        <f t="shared" si="30"/>
        <v>#DIV/0!</v>
      </c>
      <c r="N137" s="1" t="e">
        <f t="shared" si="31"/>
        <v>#DIV/0!</v>
      </c>
      <c r="O137" s="11"/>
      <c r="P137" s="11"/>
      <c r="Q137" s="11"/>
      <c r="R137" s="24">
        <v>0</v>
      </c>
      <c r="S137" s="25">
        <v>6</v>
      </c>
      <c r="T137" s="25">
        <v>4</v>
      </c>
      <c r="U137" s="25">
        <v>6</v>
      </c>
      <c r="V137" s="25">
        <v>6</v>
      </c>
      <c r="W137" s="50">
        <v>6</v>
      </c>
      <c r="X137" s="25">
        <v>1</v>
      </c>
      <c r="Y137" s="25">
        <f t="shared" si="32"/>
        <v>1.06</v>
      </c>
      <c r="Z137" s="25">
        <f t="shared" si="33"/>
        <v>1.1024</v>
      </c>
      <c r="AA137" s="25">
        <f t="shared" si="34"/>
        <v>1.168544</v>
      </c>
      <c r="AB137" s="25">
        <f t="shared" si="35"/>
        <v>1.23865664</v>
      </c>
      <c r="AC137" s="50">
        <f t="shared" si="37"/>
        <v>1.3129760384000002</v>
      </c>
    </row>
    <row r="138" spans="1:29" ht="12.75">
      <c r="A138" s="1">
        <v>133</v>
      </c>
      <c r="B138" s="10" t="s">
        <v>457</v>
      </c>
      <c r="C138" s="200">
        <f>VLOOKUP(MID(B138,1,8)-0,'palkat 1.12.2018'!$B$9:$G$223,3,FALSE)</f>
        <v>2223.39</v>
      </c>
      <c r="D138" s="200">
        <f>VLOOKUP(MID(B138,1,8)-0,'palkat 1.12.2018'!$B$9:$G$223,5,FALSE)</f>
        <v>2202.33</v>
      </c>
      <c r="E138" s="11">
        <f>IF('muut muuttujat'!$G$3=1,C138,KÄYTTÖTAULU!$B$13)</f>
        <v>2223.39</v>
      </c>
      <c r="F138" s="11">
        <f>IF('muut muuttujat'!$G$3=1,D138,KÄYTTÖTAULU!$B$13)</f>
        <v>2202.33</v>
      </c>
      <c r="G138" s="11">
        <f>KÄYTTÖTAULU!$F$6</f>
        <v>0</v>
      </c>
      <c r="H138" s="11">
        <f>KÄYTTÖTAULU!$F$6</f>
        <v>0</v>
      </c>
      <c r="I138" s="11">
        <f t="shared" si="28"/>
        <v>0</v>
      </c>
      <c r="J138" s="11">
        <f t="shared" si="36"/>
        <v>0</v>
      </c>
      <c r="K138" s="1" t="e">
        <f>ROUND(I138/KÄYTTÖTAULU!$I$8,2)</f>
        <v>#DIV/0!</v>
      </c>
      <c r="L138" s="1" t="e">
        <f>ROUND(J138/KÄYTTÖTAULU!$I$8,2)</f>
        <v>#DIV/0!</v>
      </c>
      <c r="M138" s="1" t="e">
        <f t="shared" si="30"/>
        <v>#DIV/0!</v>
      </c>
      <c r="N138" s="1" t="e">
        <f t="shared" si="31"/>
        <v>#DIV/0!</v>
      </c>
      <c r="O138" s="11"/>
      <c r="P138" s="11"/>
      <c r="Q138" s="11"/>
      <c r="R138" s="24">
        <v>0</v>
      </c>
      <c r="S138" s="25">
        <v>6</v>
      </c>
      <c r="T138" s="25">
        <v>4</v>
      </c>
      <c r="U138" s="25">
        <v>6</v>
      </c>
      <c r="V138" s="25">
        <v>6</v>
      </c>
      <c r="W138" s="50">
        <v>6</v>
      </c>
      <c r="X138" s="25">
        <v>1</v>
      </c>
      <c r="Y138" s="25">
        <f t="shared" si="32"/>
        <v>1.06</v>
      </c>
      <c r="Z138" s="25">
        <f t="shared" si="33"/>
        <v>1.1024</v>
      </c>
      <c r="AA138" s="25">
        <f t="shared" si="34"/>
        <v>1.168544</v>
      </c>
      <c r="AB138" s="25">
        <f t="shared" si="35"/>
        <v>1.23865664</v>
      </c>
      <c r="AC138" s="50">
        <f t="shared" si="37"/>
        <v>1.3129760384000002</v>
      </c>
    </row>
    <row r="139" spans="1:29" ht="12.75">
      <c r="A139" s="1">
        <v>134</v>
      </c>
      <c r="B139" s="10" t="s">
        <v>458</v>
      </c>
      <c r="C139" s="200">
        <f>VLOOKUP(MID(B139,1,8)-0,'palkat 1.12.2018'!$B$9:$G$223,3,FALSE)</f>
        <v>2863.01</v>
      </c>
      <c r="D139" s="200">
        <f>VLOOKUP(MID(B139,1,8)-0,'palkat 1.12.2018'!$B$9:$G$223,5,FALSE)</f>
        <v>2835.82</v>
      </c>
      <c r="E139" s="11">
        <f>IF('muut muuttujat'!$G$3=1,C139,KÄYTTÖTAULU!$B$13)</f>
        <v>2863.01</v>
      </c>
      <c r="F139" s="11">
        <f>IF('muut muuttujat'!$G$3=1,D139,KÄYTTÖTAULU!$B$13)</f>
        <v>2835.82</v>
      </c>
      <c r="G139" s="11">
        <f>KÄYTTÖTAULU!$F$6</f>
        <v>0</v>
      </c>
      <c r="H139" s="11">
        <f>KÄYTTÖTAULU!$F$6</f>
        <v>0</v>
      </c>
      <c r="I139" s="11">
        <f t="shared" si="28"/>
        <v>0</v>
      </c>
      <c r="J139" s="11">
        <f t="shared" si="36"/>
        <v>0</v>
      </c>
      <c r="K139" s="1" t="e">
        <f>ROUND(I139/KÄYTTÖTAULU!$I$8,2)</f>
        <v>#DIV/0!</v>
      </c>
      <c r="L139" s="1" t="e">
        <f>ROUND(J139/KÄYTTÖTAULU!$I$8,2)</f>
        <v>#DIV/0!</v>
      </c>
      <c r="M139" s="1" t="e">
        <f t="shared" si="30"/>
        <v>#DIV/0!</v>
      </c>
      <c r="N139" s="1" t="e">
        <f t="shared" si="31"/>
        <v>#DIV/0!</v>
      </c>
      <c r="O139" s="11"/>
      <c r="P139" s="11"/>
      <c r="Q139" s="11"/>
      <c r="R139" s="24">
        <v>0</v>
      </c>
      <c r="S139" s="25">
        <v>6</v>
      </c>
      <c r="T139" s="25">
        <v>4</v>
      </c>
      <c r="U139" s="25">
        <v>6</v>
      </c>
      <c r="V139" s="25">
        <v>6</v>
      </c>
      <c r="W139" s="50">
        <v>6</v>
      </c>
      <c r="X139" s="25">
        <v>1</v>
      </c>
      <c r="Y139" s="25">
        <f t="shared" si="32"/>
        <v>1.06</v>
      </c>
      <c r="Z139" s="25">
        <f t="shared" si="33"/>
        <v>1.1024</v>
      </c>
      <c r="AA139" s="25">
        <f t="shared" si="34"/>
        <v>1.168544</v>
      </c>
      <c r="AB139" s="25">
        <f t="shared" si="35"/>
        <v>1.23865664</v>
      </c>
      <c r="AC139" s="50">
        <f t="shared" si="37"/>
        <v>1.3129760384000002</v>
      </c>
    </row>
    <row r="140" spans="1:29" ht="12.75">
      <c r="A140" s="1">
        <v>135</v>
      </c>
      <c r="B140" s="10" t="s">
        <v>459</v>
      </c>
      <c r="C140" s="200">
        <f>VLOOKUP(MID(B140,1,8)-0,'palkat 1.12.2018'!$B$9:$G$223,3,FALSE)</f>
        <v>2547.42</v>
      </c>
      <c r="D140" s="200">
        <f>VLOOKUP(MID(B140,1,8)-0,'palkat 1.12.2018'!$B$9:$G$223,5,FALSE)</f>
        <v>2523.29</v>
      </c>
      <c r="E140" s="11">
        <f>IF('muut muuttujat'!$G$3=1,C140,KÄYTTÖTAULU!$B$13)</f>
        <v>2547.42</v>
      </c>
      <c r="F140" s="11">
        <f>IF('muut muuttujat'!$G$3=1,D140,KÄYTTÖTAULU!$B$13)</f>
        <v>2523.29</v>
      </c>
      <c r="G140" s="11">
        <f>KÄYTTÖTAULU!$F$6</f>
        <v>0</v>
      </c>
      <c r="H140" s="11">
        <f>KÄYTTÖTAULU!$F$6</f>
        <v>0</v>
      </c>
      <c r="I140" s="11">
        <f t="shared" si="28"/>
        <v>0</v>
      </c>
      <c r="J140" s="11">
        <f t="shared" si="36"/>
        <v>0</v>
      </c>
      <c r="K140" s="1" t="e">
        <f>ROUND(I140/KÄYTTÖTAULU!$I$8,2)</f>
        <v>#DIV/0!</v>
      </c>
      <c r="L140" s="1" t="e">
        <f>ROUND(J140/KÄYTTÖTAULU!$I$8,2)</f>
        <v>#DIV/0!</v>
      </c>
      <c r="M140" s="1" t="e">
        <f t="shared" si="30"/>
        <v>#DIV/0!</v>
      </c>
      <c r="N140" s="1" t="e">
        <f t="shared" si="31"/>
        <v>#DIV/0!</v>
      </c>
      <c r="O140" s="11"/>
      <c r="P140" s="11"/>
      <c r="Q140" s="11"/>
      <c r="R140" s="24">
        <v>0</v>
      </c>
      <c r="S140" s="25">
        <v>6</v>
      </c>
      <c r="T140" s="25">
        <v>4</v>
      </c>
      <c r="U140" s="25">
        <v>6</v>
      </c>
      <c r="V140" s="25">
        <v>6</v>
      </c>
      <c r="W140" s="50">
        <v>6</v>
      </c>
      <c r="X140" s="25">
        <v>1</v>
      </c>
      <c r="Y140" s="25">
        <f t="shared" si="32"/>
        <v>1.06</v>
      </c>
      <c r="Z140" s="25">
        <f t="shared" si="33"/>
        <v>1.1024</v>
      </c>
      <c r="AA140" s="25">
        <f t="shared" si="34"/>
        <v>1.168544</v>
      </c>
      <c r="AB140" s="25">
        <f t="shared" si="35"/>
        <v>1.23865664</v>
      </c>
      <c r="AC140" s="50">
        <f t="shared" si="37"/>
        <v>1.3129760384000002</v>
      </c>
    </row>
    <row r="141" spans="1:29" ht="12.75">
      <c r="A141" s="1">
        <v>136</v>
      </c>
      <c r="B141" s="10" t="s">
        <v>460</v>
      </c>
      <c r="C141" s="200">
        <f>VLOOKUP(MID(B141,1,8)-0,'palkat 1.12.2018'!$B$9:$G$223,3,FALSE)</f>
        <v>2492.65</v>
      </c>
      <c r="D141" s="200">
        <f>VLOOKUP(MID(B141,1,8)-0,'palkat 1.12.2018'!$B$9:$G$223,5,FALSE)</f>
        <v>2469.01</v>
      </c>
      <c r="E141" s="11">
        <f>IF('muut muuttujat'!$G$3=1,C141,KÄYTTÖTAULU!$B$13)</f>
        <v>2492.65</v>
      </c>
      <c r="F141" s="11">
        <f>IF('muut muuttujat'!$G$3=1,D141,KÄYTTÖTAULU!$B$13)</f>
        <v>2469.01</v>
      </c>
      <c r="G141" s="11">
        <f>KÄYTTÖTAULU!$F$6</f>
        <v>0</v>
      </c>
      <c r="H141" s="11">
        <f>KÄYTTÖTAULU!$F$6</f>
        <v>0</v>
      </c>
      <c r="I141" s="11">
        <f t="shared" si="28"/>
        <v>0</v>
      </c>
      <c r="J141" s="11">
        <f t="shared" si="36"/>
        <v>0</v>
      </c>
      <c r="K141" s="1" t="e">
        <f>ROUND(I141/KÄYTTÖTAULU!$I$8,2)</f>
        <v>#DIV/0!</v>
      </c>
      <c r="L141" s="1" t="e">
        <f>ROUND(J141/KÄYTTÖTAULU!$I$8,2)</f>
        <v>#DIV/0!</v>
      </c>
      <c r="M141" s="1" t="e">
        <f t="shared" si="30"/>
        <v>#DIV/0!</v>
      </c>
      <c r="N141" s="1" t="e">
        <f t="shared" si="31"/>
        <v>#DIV/0!</v>
      </c>
      <c r="O141" s="11"/>
      <c r="P141" s="11"/>
      <c r="Q141" s="11"/>
      <c r="R141" s="24">
        <v>0</v>
      </c>
      <c r="S141" s="25">
        <v>6</v>
      </c>
      <c r="T141" s="25">
        <v>4</v>
      </c>
      <c r="U141" s="25">
        <v>6</v>
      </c>
      <c r="V141" s="25">
        <v>6</v>
      </c>
      <c r="W141" s="50">
        <v>6</v>
      </c>
      <c r="X141" s="25">
        <v>1</v>
      </c>
      <c r="Y141" s="25">
        <f t="shared" si="32"/>
        <v>1.06</v>
      </c>
      <c r="Z141" s="25">
        <f t="shared" si="33"/>
        <v>1.1024</v>
      </c>
      <c r="AA141" s="25">
        <f t="shared" si="34"/>
        <v>1.168544</v>
      </c>
      <c r="AB141" s="25">
        <f t="shared" si="35"/>
        <v>1.23865664</v>
      </c>
      <c r="AC141" s="50">
        <f t="shared" si="37"/>
        <v>1.3129760384000002</v>
      </c>
    </row>
    <row r="142" spans="1:29" ht="12.75">
      <c r="A142" s="1">
        <v>137</v>
      </c>
      <c r="B142" s="10" t="s">
        <v>461</v>
      </c>
      <c r="C142" s="200">
        <f>VLOOKUP(MID(B142,1,8)-0,'palkat 1.12.2018'!$B$9:$G$223,3,FALSE)</f>
        <v>3110.21</v>
      </c>
      <c r="D142" s="200">
        <f>VLOOKUP(MID(B142,1,8)-0,'palkat 1.12.2018'!$B$9:$G$223,5,FALSE)</f>
        <v>3080.69</v>
      </c>
      <c r="E142" s="11">
        <f>IF('muut muuttujat'!$G$3=1,C142,KÄYTTÖTAULU!$B$13)</f>
        <v>3110.21</v>
      </c>
      <c r="F142" s="11">
        <f>IF('muut muuttujat'!$G$3=1,D142,KÄYTTÖTAULU!$B$13)</f>
        <v>3080.69</v>
      </c>
      <c r="G142" s="11">
        <f>KÄYTTÖTAULU!$F$6</f>
        <v>0</v>
      </c>
      <c r="H142" s="11">
        <f>KÄYTTÖTAULU!$F$6</f>
        <v>0</v>
      </c>
      <c r="I142" s="11">
        <f t="shared" si="28"/>
        <v>0</v>
      </c>
      <c r="J142" s="11">
        <f t="shared" si="36"/>
        <v>0</v>
      </c>
      <c r="K142" s="1" t="e">
        <f>ROUND(I142/KÄYTTÖTAULU!$I$8,2)</f>
        <v>#DIV/0!</v>
      </c>
      <c r="L142" s="1" t="e">
        <f>ROUND(J142/KÄYTTÖTAULU!$I$8,2)</f>
        <v>#DIV/0!</v>
      </c>
      <c r="M142" s="1" t="e">
        <f t="shared" si="30"/>
        <v>#DIV/0!</v>
      </c>
      <c r="N142" s="1" t="e">
        <f t="shared" si="31"/>
        <v>#DIV/0!</v>
      </c>
      <c r="O142" s="11" t="e">
        <f>ROUND(E142*0.83/KÄYTTÖTAULU!$I$8*12/38,2)</f>
        <v>#DIV/0!</v>
      </c>
      <c r="P142" s="11" t="e">
        <f>ROUND(F142*0.83/KÄYTTÖTAULU!$I$8*12/38,2)</f>
        <v>#DIV/0!</v>
      </c>
      <c r="Q142" s="11"/>
      <c r="R142" s="24">
        <v>0</v>
      </c>
      <c r="S142" s="25">
        <v>6</v>
      </c>
      <c r="T142" s="25">
        <v>4</v>
      </c>
      <c r="U142" s="25">
        <v>6</v>
      </c>
      <c r="V142" s="25">
        <v>6</v>
      </c>
      <c r="W142" s="50">
        <v>6</v>
      </c>
      <c r="X142" s="25">
        <v>1</v>
      </c>
      <c r="Y142" s="25">
        <f t="shared" si="32"/>
        <v>1.06</v>
      </c>
      <c r="Z142" s="25">
        <f t="shared" si="33"/>
        <v>1.1024</v>
      </c>
      <c r="AA142" s="25">
        <f t="shared" si="34"/>
        <v>1.168544</v>
      </c>
      <c r="AB142" s="25">
        <f t="shared" si="35"/>
        <v>1.23865664</v>
      </c>
      <c r="AC142" s="50">
        <f t="shared" si="37"/>
        <v>1.3129760384000002</v>
      </c>
    </row>
    <row r="143" spans="1:29" ht="12.75">
      <c r="A143" s="1">
        <v>138</v>
      </c>
      <c r="B143" s="10" t="s">
        <v>462</v>
      </c>
      <c r="C143" s="200">
        <f>VLOOKUP(MID(B143,1,8)-0,'palkat 1.12.2018'!$B$9:$G$223,3,FALSE)</f>
        <v>2913.78</v>
      </c>
      <c r="D143" s="200">
        <f>VLOOKUP(MID(B143,1,8)-0,'palkat 1.12.2018'!$B$9:$G$223,5,FALSE)</f>
        <v>2886.13</v>
      </c>
      <c r="E143" s="11">
        <f>IF('muut muuttujat'!$G$3=1,C143,KÄYTTÖTAULU!$B$13)</f>
        <v>2913.78</v>
      </c>
      <c r="F143" s="11">
        <f>IF('muut muuttujat'!$G$3=1,D143,KÄYTTÖTAULU!$B$13)</f>
        <v>2886.13</v>
      </c>
      <c r="G143" s="11">
        <f>KÄYTTÖTAULU!$F$6</f>
        <v>0</v>
      </c>
      <c r="H143" s="11">
        <f>KÄYTTÖTAULU!$F$6</f>
        <v>0</v>
      </c>
      <c r="I143" s="11">
        <f t="shared" si="28"/>
        <v>0</v>
      </c>
      <c r="J143" s="11">
        <f t="shared" si="36"/>
        <v>0</v>
      </c>
      <c r="K143" s="1" t="e">
        <f>ROUND(I143/KÄYTTÖTAULU!$I$8,2)</f>
        <v>#DIV/0!</v>
      </c>
      <c r="L143" s="1" t="e">
        <f>ROUND(J143/KÄYTTÖTAULU!$I$8,2)</f>
        <v>#DIV/0!</v>
      </c>
      <c r="M143" s="1" t="e">
        <f t="shared" si="30"/>
        <v>#DIV/0!</v>
      </c>
      <c r="N143" s="1" t="e">
        <f t="shared" si="31"/>
        <v>#DIV/0!</v>
      </c>
      <c r="O143" s="11" t="e">
        <f>ROUND(E143*0.83/KÄYTTÖTAULU!$I$8*12/38,2)</f>
        <v>#DIV/0!</v>
      </c>
      <c r="P143" s="11" t="e">
        <f>ROUND(F143*0.83/KÄYTTÖTAULU!$I$8*12/38,2)</f>
        <v>#DIV/0!</v>
      </c>
      <c r="Q143" s="11"/>
      <c r="R143" s="24">
        <v>0</v>
      </c>
      <c r="S143" s="25">
        <v>6</v>
      </c>
      <c r="T143" s="25">
        <v>4</v>
      </c>
      <c r="U143" s="25">
        <v>6</v>
      </c>
      <c r="V143" s="25">
        <v>6</v>
      </c>
      <c r="W143" s="50">
        <v>6</v>
      </c>
      <c r="X143" s="25">
        <v>1</v>
      </c>
      <c r="Y143" s="25">
        <f t="shared" si="32"/>
        <v>1.06</v>
      </c>
      <c r="Z143" s="25">
        <f t="shared" si="33"/>
        <v>1.1024</v>
      </c>
      <c r="AA143" s="25">
        <f t="shared" si="34"/>
        <v>1.168544</v>
      </c>
      <c r="AB143" s="25">
        <f t="shared" si="35"/>
        <v>1.23865664</v>
      </c>
      <c r="AC143" s="50">
        <f t="shared" si="37"/>
        <v>1.3129760384000002</v>
      </c>
    </row>
    <row r="144" spans="1:29" ht="12.75">
      <c r="A144" s="1">
        <v>139</v>
      </c>
      <c r="B144" s="10" t="s">
        <v>463</v>
      </c>
      <c r="C144" s="200">
        <f>VLOOKUP(MID(B144,1,8)-0,'palkat 1.12.2018'!$B$9:$G$223,3,FALSE)</f>
        <v>2328.49</v>
      </c>
      <c r="D144" s="200">
        <f>VLOOKUP(MID(B144,1,8)-0,'palkat 1.12.2018'!$B$9:$G$223,5,FALSE)</f>
        <v>2306.39</v>
      </c>
      <c r="E144" s="11">
        <f>IF('muut muuttujat'!$G$3=1,C144,KÄYTTÖTAULU!$B$13)</f>
        <v>2328.49</v>
      </c>
      <c r="F144" s="11">
        <f>IF('muut muuttujat'!$G$3=1,D144,KÄYTTÖTAULU!$B$13)</f>
        <v>2306.39</v>
      </c>
      <c r="G144" s="11">
        <f>KÄYTTÖTAULU!$F$6</f>
        <v>0</v>
      </c>
      <c r="H144" s="11">
        <f>KÄYTTÖTAULU!$F$6</f>
        <v>0</v>
      </c>
      <c r="I144" s="11">
        <f t="shared" si="28"/>
        <v>0</v>
      </c>
      <c r="J144" s="11">
        <f t="shared" si="36"/>
        <v>0</v>
      </c>
      <c r="K144" s="1" t="e">
        <f>ROUND(I144/KÄYTTÖTAULU!$I$8,2)</f>
        <v>#DIV/0!</v>
      </c>
      <c r="L144" s="1" t="e">
        <f>ROUND(J144/KÄYTTÖTAULU!$I$8,2)</f>
        <v>#DIV/0!</v>
      </c>
      <c r="M144" s="1" t="e">
        <f t="shared" si="30"/>
        <v>#DIV/0!</v>
      </c>
      <c r="N144" s="1" t="e">
        <f t="shared" si="31"/>
        <v>#DIV/0!</v>
      </c>
      <c r="O144" s="11" t="e">
        <f>ROUND(E144*0.83/KÄYTTÖTAULU!$I$8*12/38,2)</f>
        <v>#DIV/0!</v>
      </c>
      <c r="P144" s="11" t="e">
        <f>ROUND(F144*0.83/KÄYTTÖTAULU!$I$8*12/38,2)</f>
        <v>#DIV/0!</v>
      </c>
      <c r="Q144" s="11"/>
      <c r="R144" s="24">
        <v>0</v>
      </c>
      <c r="S144" s="25">
        <v>6</v>
      </c>
      <c r="T144" s="25">
        <v>4</v>
      </c>
      <c r="U144" s="25">
        <v>6</v>
      </c>
      <c r="V144" s="25">
        <v>6</v>
      </c>
      <c r="W144" s="50">
        <v>6</v>
      </c>
      <c r="X144" s="25">
        <v>1</v>
      </c>
      <c r="Y144" s="25">
        <f t="shared" si="32"/>
        <v>1.06</v>
      </c>
      <c r="Z144" s="25">
        <f t="shared" si="33"/>
        <v>1.1024</v>
      </c>
      <c r="AA144" s="25">
        <f t="shared" si="34"/>
        <v>1.168544</v>
      </c>
      <c r="AB144" s="25">
        <f t="shared" si="35"/>
        <v>1.23865664</v>
      </c>
      <c r="AC144" s="50">
        <f t="shared" si="37"/>
        <v>1.3129760384000002</v>
      </c>
    </row>
    <row r="145" spans="1:29" ht="12.75">
      <c r="A145" s="1">
        <v>140</v>
      </c>
      <c r="B145" s="10" t="s">
        <v>464</v>
      </c>
      <c r="C145" s="200">
        <f>VLOOKUP(MID(B145,1,8)-0,'palkat 1.12.2018'!$B$9:$G$223,3,FALSE)</f>
        <v>2223.39</v>
      </c>
      <c r="D145" s="200">
        <f>VLOOKUP(MID(B145,1,8)-0,'palkat 1.12.2018'!$B$9:$G$223,5,FALSE)</f>
        <v>2202.33</v>
      </c>
      <c r="E145" s="11">
        <f>IF('muut muuttujat'!$G$3=1,C145,KÄYTTÖTAULU!$B$13)</f>
        <v>2223.39</v>
      </c>
      <c r="F145" s="11">
        <f>IF('muut muuttujat'!$G$3=1,D145,KÄYTTÖTAULU!$B$13)</f>
        <v>2202.33</v>
      </c>
      <c r="G145" s="11">
        <f>KÄYTTÖTAULU!$F$6</f>
        <v>0</v>
      </c>
      <c r="H145" s="11">
        <f>KÄYTTÖTAULU!$F$6</f>
        <v>0</v>
      </c>
      <c r="I145" s="11">
        <f t="shared" si="28"/>
        <v>0</v>
      </c>
      <c r="J145" s="11">
        <f t="shared" si="36"/>
        <v>0</v>
      </c>
      <c r="K145" s="1" t="e">
        <f>ROUND(I145/KÄYTTÖTAULU!$I$8,2)</f>
        <v>#DIV/0!</v>
      </c>
      <c r="L145" s="1" t="e">
        <f>ROUND(J145/KÄYTTÖTAULU!$I$8,2)</f>
        <v>#DIV/0!</v>
      </c>
      <c r="M145" s="1" t="e">
        <f t="shared" si="30"/>
        <v>#DIV/0!</v>
      </c>
      <c r="N145" s="1" t="e">
        <f t="shared" si="31"/>
        <v>#DIV/0!</v>
      </c>
      <c r="O145" s="11" t="e">
        <f>ROUND(E145*0.83/KÄYTTÖTAULU!$I$8*12/38,2)</f>
        <v>#DIV/0!</v>
      </c>
      <c r="P145" s="11" t="e">
        <f>ROUND(F145*0.83/KÄYTTÖTAULU!$I$8*12/38,2)</f>
        <v>#DIV/0!</v>
      </c>
      <c r="Q145" s="11"/>
      <c r="R145" s="24">
        <v>0</v>
      </c>
      <c r="S145" s="25">
        <v>6</v>
      </c>
      <c r="T145" s="25">
        <v>4</v>
      </c>
      <c r="U145" s="25">
        <v>6</v>
      </c>
      <c r="V145" s="25">
        <v>6</v>
      </c>
      <c r="W145" s="50">
        <v>6</v>
      </c>
      <c r="X145" s="25">
        <v>1</v>
      </c>
      <c r="Y145" s="25">
        <f t="shared" si="32"/>
        <v>1.06</v>
      </c>
      <c r="Z145" s="25">
        <f t="shared" si="33"/>
        <v>1.1024</v>
      </c>
      <c r="AA145" s="25">
        <f t="shared" si="34"/>
        <v>1.168544</v>
      </c>
      <c r="AB145" s="25">
        <f t="shared" si="35"/>
        <v>1.23865664</v>
      </c>
      <c r="AC145" s="50">
        <f t="shared" si="37"/>
        <v>1.3129760384000002</v>
      </c>
    </row>
    <row r="146" spans="1:29" ht="12.75">
      <c r="A146" s="1">
        <v>141</v>
      </c>
      <c r="B146" s="10" t="s">
        <v>465</v>
      </c>
      <c r="C146" s="200">
        <f>VLOOKUP(MID(B146,1,8)-0,'palkat 1.12.2018'!$B$9:$G$223,3,FALSE)</f>
        <v>2863.01</v>
      </c>
      <c r="D146" s="200">
        <f>VLOOKUP(MID(B146,1,8)-0,'palkat 1.12.2018'!$B$9:$G$223,5,FALSE)</f>
        <v>2835.82</v>
      </c>
      <c r="E146" s="11">
        <f>IF('muut muuttujat'!$G$3=1,C146,KÄYTTÖTAULU!$B$13)</f>
        <v>2863.01</v>
      </c>
      <c r="F146" s="11">
        <f>IF('muut muuttujat'!$G$3=1,D146,KÄYTTÖTAULU!$B$13)</f>
        <v>2835.82</v>
      </c>
      <c r="G146" s="11">
        <f>KÄYTTÖTAULU!$F$6</f>
        <v>0</v>
      </c>
      <c r="H146" s="11">
        <f>KÄYTTÖTAULU!$F$6</f>
        <v>0</v>
      </c>
      <c r="I146" s="11">
        <f t="shared" si="28"/>
        <v>0</v>
      </c>
      <c r="J146" s="11">
        <f t="shared" si="36"/>
        <v>0</v>
      </c>
      <c r="K146" s="1" t="e">
        <f>ROUND(I146/KÄYTTÖTAULU!$I$8,2)</f>
        <v>#DIV/0!</v>
      </c>
      <c r="L146" s="1" t="e">
        <f>ROUND(J146/KÄYTTÖTAULU!$I$8,2)</f>
        <v>#DIV/0!</v>
      </c>
      <c r="M146" s="1" t="e">
        <f t="shared" si="30"/>
        <v>#DIV/0!</v>
      </c>
      <c r="N146" s="1" t="e">
        <f t="shared" si="31"/>
        <v>#DIV/0!</v>
      </c>
      <c r="O146" s="11" t="e">
        <f>ROUND(E146*0.83/KÄYTTÖTAULU!$I$8*12/38,2)</f>
        <v>#DIV/0!</v>
      </c>
      <c r="P146" s="11" t="e">
        <f>ROUND(F146*0.83/KÄYTTÖTAULU!$I$8*12/38,2)</f>
        <v>#DIV/0!</v>
      </c>
      <c r="Q146" s="11"/>
      <c r="R146" s="24">
        <v>0</v>
      </c>
      <c r="S146" s="25">
        <v>6</v>
      </c>
      <c r="T146" s="25">
        <v>4</v>
      </c>
      <c r="U146" s="25">
        <v>6</v>
      </c>
      <c r="V146" s="25">
        <v>6</v>
      </c>
      <c r="W146" s="50">
        <v>6</v>
      </c>
      <c r="X146" s="25">
        <v>1</v>
      </c>
      <c r="Y146" s="25">
        <f t="shared" si="32"/>
        <v>1.06</v>
      </c>
      <c r="Z146" s="25">
        <f t="shared" si="33"/>
        <v>1.1024</v>
      </c>
      <c r="AA146" s="25">
        <f t="shared" si="34"/>
        <v>1.168544</v>
      </c>
      <c r="AB146" s="25">
        <f t="shared" si="35"/>
        <v>1.23865664</v>
      </c>
      <c r="AC146" s="50">
        <f t="shared" si="37"/>
        <v>1.3129760384000002</v>
      </c>
    </row>
    <row r="147" spans="1:29" ht="12.75">
      <c r="A147" s="1">
        <v>142</v>
      </c>
      <c r="B147" s="10" t="s">
        <v>466</v>
      </c>
      <c r="C147" s="200">
        <f>VLOOKUP(MID(B147,1,8)-0,'palkat 1.12.2018'!$B$9:$G$223,3,FALSE)</f>
        <v>2547.42</v>
      </c>
      <c r="D147" s="200">
        <f>VLOOKUP(MID(B147,1,8)-0,'palkat 1.12.2018'!$B$9:$G$223,5,FALSE)</f>
        <v>2523.29</v>
      </c>
      <c r="E147" s="11">
        <f>IF('muut muuttujat'!$G$3=1,C147,KÄYTTÖTAULU!$B$13)</f>
        <v>2547.42</v>
      </c>
      <c r="F147" s="11">
        <f>IF('muut muuttujat'!$G$3=1,D147,KÄYTTÖTAULU!$B$13)</f>
        <v>2523.29</v>
      </c>
      <c r="G147" s="11">
        <f>KÄYTTÖTAULU!$F$6</f>
        <v>0</v>
      </c>
      <c r="H147" s="11">
        <f>KÄYTTÖTAULU!$F$6</f>
        <v>0</v>
      </c>
      <c r="I147" s="11">
        <f t="shared" si="28"/>
        <v>0</v>
      </c>
      <c r="J147" s="11">
        <f t="shared" si="36"/>
        <v>0</v>
      </c>
      <c r="K147" s="1" t="e">
        <f>ROUND(I147/KÄYTTÖTAULU!$I$8,2)</f>
        <v>#DIV/0!</v>
      </c>
      <c r="L147" s="1" t="e">
        <f>ROUND(J147/KÄYTTÖTAULU!$I$8,2)</f>
        <v>#DIV/0!</v>
      </c>
      <c r="M147" s="1" t="e">
        <f t="shared" si="30"/>
        <v>#DIV/0!</v>
      </c>
      <c r="N147" s="1" t="e">
        <f t="shared" si="31"/>
        <v>#DIV/0!</v>
      </c>
      <c r="O147" s="11" t="e">
        <f>ROUND(E147*0.83/KÄYTTÖTAULU!$I$8*12/38,2)</f>
        <v>#DIV/0!</v>
      </c>
      <c r="P147" s="11" t="e">
        <f>ROUND(F147*0.83/KÄYTTÖTAULU!$I$8*12/38,2)</f>
        <v>#DIV/0!</v>
      </c>
      <c r="Q147" s="11"/>
      <c r="R147" s="24">
        <v>0</v>
      </c>
      <c r="S147" s="25">
        <v>6</v>
      </c>
      <c r="T147" s="25">
        <v>4</v>
      </c>
      <c r="U147" s="25">
        <v>6</v>
      </c>
      <c r="V147" s="25">
        <v>6</v>
      </c>
      <c r="W147" s="50">
        <v>6</v>
      </c>
      <c r="X147" s="25">
        <v>1</v>
      </c>
      <c r="Y147" s="25">
        <f t="shared" si="32"/>
        <v>1.06</v>
      </c>
      <c r="Z147" s="25">
        <f t="shared" si="33"/>
        <v>1.1024</v>
      </c>
      <c r="AA147" s="25">
        <f t="shared" si="34"/>
        <v>1.168544</v>
      </c>
      <c r="AB147" s="25">
        <f t="shared" si="35"/>
        <v>1.23865664</v>
      </c>
      <c r="AC147" s="50">
        <f t="shared" si="37"/>
        <v>1.3129760384000002</v>
      </c>
    </row>
    <row r="148" spans="1:29" ht="12.75">
      <c r="A148" s="1">
        <v>143</v>
      </c>
      <c r="B148" s="10" t="s">
        <v>467</v>
      </c>
      <c r="C148" s="200">
        <f>VLOOKUP(MID(B148,1,8)-0,'palkat 1.12.2018'!$B$9:$G$223,3,FALSE)</f>
        <v>2492.65</v>
      </c>
      <c r="D148" s="200">
        <f>VLOOKUP(MID(B148,1,8)-0,'palkat 1.12.2018'!$B$9:$G$223,5,FALSE)</f>
        <v>2469.01</v>
      </c>
      <c r="E148" s="11">
        <f>IF('muut muuttujat'!$G$3=1,C148,KÄYTTÖTAULU!$B$13)</f>
        <v>2492.65</v>
      </c>
      <c r="F148" s="11">
        <f>IF('muut muuttujat'!$G$3=1,D148,KÄYTTÖTAULU!$B$13)</f>
        <v>2469.01</v>
      </c>
      <c r="G148" s="11">
        <f>KÄYTTÖTAULU!$F$6</f>
        <v>0</v>
      </c>
      <c r="H148" s="11">
        <f>KÄYTTÖTAULU!$F$6</f>
        <v>0</v>
      </c>
      <c r="I148" s="11">
        <f t="shared" si="28"/>
        <v>0</v>
      </c>
      <c r="J148" s="11">
        <f t="shared" si="36"/>
        <v>0</v>
      </c>
      <c r="K148" s="1" t="e">
        <f>ROUND(I148/KÄYTTÖTAULU!$I$8,2)</f>
        <v>#DIV/0!</v>
      </c>
      <c r="L148" s="1" t="e">
        <f>ROUND(J148/KÄYTTÖTAULU!$I$8,2)</f>
        <v>#DIV/0!</v>
      </c>
      <c r="M148" s="1" t="e">
        <f t="shared" si="30"/>
        <v>#DIV/0!</v>
      </c>
      <c r="N148" s="1" t="e">
        <f t="shared" si="31"/>
        <v>#DIV/0!</v>
      </c>
      <c r="O148" s="11" t="e">
        <f>ROUND(E148*0.83/KÄYTTÖTAULU!$I$8*12/38,2)</f>
        <v>#DIV/0!</v>
      </c>
      <c r="P148" s="11" t="e">
        <f>ROUND(F148*0.83/KÄYTTÖTAULU!$I$8*12/38,2)</f>
        <v>#DIV/0!</v>
      </c>
      <c r="Q148" s="11"/>
      <c r="R148" s="24">
        <v>0</v>
      </c>
      <c r="S148" s="25">
        <v>6</v>
      </c>
      <c r="T148" s="25">
        <v>4</v>
      </c>
      <c r="U148" s="25">
        <v>6</v>
      </c>
      <c r="V148" s="25">
        <v>6</v>
      </c>
      <c r="W148" s="50">
        <v>6</v>
      </c>
      <c r="X148" s="25">
        <v>1</v>
      </c>
      <c r="Y148" s="25">
        <f t="shared" si="32"/>
        <v>1.06</v>
      </c>
      <c r="Z148" s="25">
        <f t="shared" si="33"/>
        <v>1.1024</v>
      </c>
      <c r="AA148" s="25">
        <f t="shared" si="34"/>
        <v>1.168544</v>
      </c>
      <c r="AB148" s="25">
        <f t="shared" si="35"/>
        <v>1.23865664</v>
      </c>
      <c r="AC148" s="50">
        <f t="shared" si="37"/>
        <v>1.3129760384000002</v>
      </c>
    </row>
    <row r="149" spans="1:29" ht="12.75">
      <c r="A149" s="1">
        <v>144</v>
      </c>
      <c r="B149" s="10" t="s">
        <v>468</v>
      </c>
      <c r="C149" s="200">
        <f>VLOOKUP(MID(B149,1,8)-0,'palkat 1.12.2018'!$B$9:$G$223,3,FALSE)</f>
        <v>3660.02</v>
      </c>
      <c r="D149" s="200">
        <f>VLOOKUP(MID(B149,1,8)-0,'palkat 1.12.2018'!$B$9:$G$223,5,FALSE)</f>
        <v>3624.88</v>
      </c>
      <c r="E149" s="11">
        <f>IF('muut muuttujat'!$G$3=1,C149,KÄYTTÖTAULU!$B$13)</f>
        <v>3660.02</v>
      </c>
      <c r="F149" s="11">
        <f>IF('muut muuttujat'!$G$3=1,D149,KÄYTTÖTAULU!$B$13)</f>
        <v>3624.88</v>
      </c>
      <c r="G149" s="11">
        <f>KÄYTTÖTAULU!$F$6</f>
        <v>0</v>
      </c>
      <c r="H149" s="11">
        <f>KÄYTTÖTAULU!$F$6</f>
        <v>0</v>
      </c>
      <c r="I149" s="11"/>
      <c r="J149" s="11"/>
      <c r="O149" s="11"/>
      <c r="P149" s="11"/>
      <c r="Q149" s="11"/>
      <c r="R149" s="24">
        <v>0</v>
      </c>
      <c r="S149" s="25">
        <v>0</v>
      </c>
      <c r="T149" s="25">
        <v>0</v>
      </c>
      <c r="U149" s="25">
        <v>5</v>
      </c>
      <c r="V149" s="25">
        <v>4</v>
      </c>
      <c r="W149" s="50">
        <v>6</v>
      </c>
      <c r="X149" s="25">
        <v>1</v>
      </c>
      <c r="Y149" s="25">
        <f t="shared" si="32"/>
        <v>1</v>
      </c>
      <c r="Z149" s="25">
        <f t="shared" si="33"/>
        <v>1</v>
      </c>
      <c r="AA149" s="25">
        <f t="shared" si="34"/>
        <v>1.05</v>
      </c>
      <c r="AB149" s="25">
        <f aca="true" t="shared" si="38" ref="AB149:AB171">(1+V149/100)*AA149</f>
        <v>1.092</v>
      </c>
      <c r="AC149" s="50">
        <f t="shared" si="37"/>
        <v>1.15752</v>
      </c>
    </row>
    <row r="150" spans="1:29" ht="12.75">
      <c r="A150" s="1">
        <v>145</v>
      </c>
      <c r="B150" s="10" t="s">
        <v>469</v>
      </c>
      <c r="C150" s="200">
        <f>VLOOKUP(MID(B150,1,8)-0,'palkat 1.12.2018'!$B$9:$G$223,3,FALSE)</f>
        <v>3293.58</v>
      </c>
      <c r="D150" s="200">
        <f>VLOOKUP(MID(B150,1,8)-0,'palkat 1.12.2018'!$B$9:$G$223,5,FALSE)</f>
        <v>3261.94</v>
      </c>
      <c r="E150" s="11">
        <f>IF('muut muuttujat'!$G$3=1,C150,KÄYTTÖTAULU!$B$13)</f>
        <v>3293.58</v>
      </c>
      <c r="F150" s="11">
        <f>IF('muut muuttujat'!$G$3=1,D150,KÄYTTÖTAULU!$B$13)</f>
        <v>3261.94</v>
      </c>
      <c r="G150" s="11">
        <f>KÄYTTÖTAULU!$F$6</f>
        <v>0</v>
      </c>
      <c r="H150" s="11">
        <f>KÄYTTÖTAULU!$F$6</f>
        <v>0</v>
      </c>
      <c r="I150" s="11"/>
      <c r="J150" s="11"/>
      <c r="O150" s="11"/>
      <c r="P150" s="11"/>
      <c r="Q150" s="11"/>
      <c r="R150" s="24">
        <v>0</v>
      </c>
      <c r="S150" s="25">
        <v>0</v>
      </c>
      <c r="T150" s="25">
        <v>0</v>
      </c>
      <c r="U150" s="25">
        <v>5</v>
      </c>
      <c r="V150" s="25">
        <v>4</v>
      </c>
      <c r="W150" s="50">
        <v>6</v>
      </c>
      <c r="X150" s="25">
        <v>1</v>
      </c>
      <c r="Y150" s="25">
        <f t="shared" si="32"/>
        <v>1</v>
      </c>
      <c r="Z150" s="25">
        <f t="shared" si="33"/>
        <v>1</v>
      </c>
      <c r="AA150" s="25">
        <f t="shared" si="34"/>
        <v>1.05</v>
      </c>
      <c r="AB150" s="25">
        <f t="shared" si="38"/>
        <v>1.092</v>
      </c>
      <c r="AC150" s="50">
        <f t="shared" si="37"/>
        <v>1.15752</v>
      </c>
    </row>
    <row r="151" spans="1:29" ht="12.75">
      <c r="A151" s="1">
        <v>146</v>
      </c>
      <c r="B151" s="10" t="s">
        <v>470</v>
      </c>
      <c r="C151" s="200">
        <f>VLOOKUP(MID(B151,1,8)-0,'palkat 1.12.2018'!$B$9:$G$223,3,FALSE)</f>
        <v>2546.32</v>
      </c>
      <c r="D151" s="200">
        <f>VLOOKUP(MID(B151,1,8)-0,'palkat 1.12.2018'!$B$9:$G$223,5,FALSE)</f>
        <v>2522.09</v>
      </c>
      <c r="E151" s="11">
        <f>IF('muut muuttujat'!$G$3=1,C151,KÄYTTÖTAULU!$B$13)</f>
        <v>2546.32</v>
      </c>
      <c r="F151" s="11">
        <f>IF('muut muuttujat'!$G$3=1,D151,KÄYTTÖTAULU!$B$13)</f>
        <v>2522.09</v>
      </c>
      <c r="G151" s="11">
        <f>KÄYTTÖTAULU!$F$6</f>
        <v>0</v>
      </c>
      <c r="H151" s="11">
        <f>KÄYTTÖTAULU!$F$6</f>
        <v>0</v>
      </c>
      <c r="I151" s="11">
        <f t="shared" si="28"/>
        <v>0</v>
      </c>
      <c r="J151" s="11">
        <f>H151*0.83</f>
        <v>0</v>
      </c>
      <c r="K151" s="1" t="e">
        <f>ROUND(I151/KÄYTTÖTAULU!$I$8,2)</f>
        <v>#DIV/0!</v>
      </c>
      <c r="L151" s="1" t="e">
        <f>ROUND(J151/KÄYTTÖTAULU!$I$8,2)</f>
        <v>#DIV/0!</v>
      </c>
      <c r="M151" s="1" t="e">
        <f>ROUND(K151*(12/35),2)</f>
        <v>#DIV/0!</v>
      </c>
      <c r="N151" s="1" t="e">
        <f>ROUND(L151*(12/35),2)</f>
        <v>#DIV/0!</v>
      </c>
      <c r="O151" s="11"/>
      <c r="P151" s="11"/>
      <c r="Q151" s="11"/>
      <c r="R151" s="24">
        <v>0</v>
      </c>
      <c r="S151" s="25">
        <v>2</v>
      </c>
      <c r="T151" s="25">
        <v>2</v>
      </c>
      <c r="U151" s="25">
        <v>9</v>
      </c>
      <c r="V151" s="25">
        <v>6</v>
      </c>
      <c r="W151" s="50">
        <v>6</v>
      </c>
      <c r="X151" s="25">
        <v>1</v>
      </c>
      <c r="Y151" s="25">
        <f t="shared" si="32"/>
        <v>1.02</v>
      </c>
      <c r="Z151" s="25">
        <f t="shared" si="33"/>
        <v>1.0404</v>
      </c>
      <c r="AA151" s="25">
        <f t="shared" si="34"/>
        <v>1.134036</v>
      </c>
      <c r="AB151" s="25">
        <f t="shared" si="38"/>
        <v>1.2020781600000001</v>
      </c>
      <c r="AC151" s="50">
        <f t="shared" si="37"/>
        <v>1.2742028496000002</v>
      </c>
    </row>
    <row r="152" spans="1:29" ht="12.75">
      <c r="A152" s="1">
        <v>147</v>
      </c>
      <c r="B152" s="10" t="s">
        <v>471</v>
      </c>
      <c r="C152" s="200">
        <f>VLOOKUP(MID(B152,1,8)-0,'palkat 1.12.2018'!$B$9:$G$223,3,FALSE)</f>
        <v>2479.69</v>
      </c>
      <c r="D152" s="200">
        <f>VLOOKUP(MID(B152,1,8)-0,'palkat 1.12.2018'!$B$9:$G$223,5,FALSE)</f>
        <v>2456.1</v>
      </c>
      <c r="E152" s="11">
        <f>IF('muut muuttujat'!$G$3=1,C152,KÄYTTÖTAULU!$B$13)</f>
        <v>2479.69</v>
      </c>
      <c r="F152" s="11">
        <f>IF('muut muuttujat'!$G$3=1,D152,KÄYTTÖTAULU!$B$13)</f>
        <v>2456.1</v>
      </c>
      <c r="G152" s="11">
        <f>KÄYTTÖTAULU!$F$6</f>
        <v>0</v>
      </c>
      <c r="H152" s="11">
        <f>KÄYTTÖTAULU!$F$6</f>
        <v>0</v>
      </c>
      <c r="I152" s="11">
        <f t="shared" si="28"/>
        <v>0</v>
      </c>
      <c r="J152" s="11">
        <f aca="true" t="shared" si="39" ref="J152:J157">H152*0.83</f>
        <v>0</v>
      </c>
      <c r="K152" s="1" t="e">
        <f>ROUND(I152/KÄYTTÖTAULU!$I$8,2)</f>
        <v>#DIV/0!</v>
      </c>
      <c r="L152" s="1" t="e">
        <f>ROUND(J152/KÄYTTÖTAULU!$I$8,2)</f>
        <v>#DIV/0!</v>
      </c>
      <c r="M152" s="1" t="e">
        <f aca="true" t="shared" si="40" ref="M152:M157">ROUND(K152*(12/35),2)</f>
        <v>#DIV/0!</v>
      </c>
      <c r="N152" s="1" t="e">
        <f aca="true" t="shared" si="41" ref="N152:N157">ROUND(L152*(12/35),2)</f>
        <v>#DIV/0!</v>
      </c>
      <c r="O152" s="11"/>
      <c r="P152" s="11"/>
      <c r="Q152" s="11"/>
      <c r="R152" s="24">
        <v>0</v>
      </c>
      <c r="S152" s="25">
        <v>2</v>
      </c>
      <c r="T152" s="25">
        <v>2</v>
      </c>
      <c r="U152" s="25">
        <v>9</v>
      </c>
      <c r="V152" s="25">
        <v>6</v>
      </c>
      <c r="W152" s="50">
        <v>6</v>
      </c>
      <c r="X152" s="25">
        <v>1</v>
      </c>
      <c r="Y152" s="25">
        <f t="shared" si="32"/>
        <v>1.02</v>
      </c>
      <c r="Z152" s="25">
        <f t="shared" si="33"/>
        <v>1.0404</v>
      </c>
      <c r="AA152" s="25">
        <f t="shared" si="34"/>
        <v>1.134036</v>
      </c>
      <c r="AB152" s="25">
        <f t="shared" si="38"/>
        <v>1.2020781600000001</v>
      </c>
      <c r="AC152" s="50">
        <f t="shared" si="37"/>
        <v>1.2742028496000002</v>
      </c>
    </row>
    <row r="153" spans="1:29" ht="12.75">
      <c r="A153" s="1">
        <v>148</v>
      </c>
      <c r="B153" s="10" t="s">
        <v>472</v>
      </c>
      <c r="C153" s="200">
        <f>VLOOKUP(MID(B153,1,8)-0,'palkat 1.12.2018'!$B$9:$G$223,3,FALSE)</f>
        <v>2231.24</v>
      </c>
      <c r="D153" s="200">
        <f>VLOOKUP(MID(B153,1,8)-0,'palkat 1.12.2018'!$B$9:$G$223,5,FALSE)</f>
        <v>2209.99</v>
      </c>
      <c r="E153" s="11">
        <f>IF('muut muuttujat'!$G$3=1,C153,KÄYTTÖTAULU!$B$13)</f>
        <v>2231.24</v>
      </c>
      <c r="F153" s="11">
        <f>IF('muut muuttujat'!$G$3=1,D153,KÄYTTÖTAULU!$B$13)</f>
        <v>2209.99</v>
      </c>
      <c r="G153" s="11">
        <f>KÄYTTÖTAULU!$F$6</f>
        <v>0</v>
      </c>
      <c r="H153" s="11">
        <f>KÄYTTÖTAULU!$F$6</f>
        <v>0</v>
      </c>
      <c r="I153" s="11">
        <f t="shared" si="28"/>
        <v>0</v>
      </c>
      <c r="J153" s="11">
        <f t="shared" si="39"/>
        <v>0</v>
      </c>
      <c r="K153" s="1" t="e">
        <f>ROUND(I153/KÄYTTÖTAULU!$I$8,2)</f>
        <v>#DIV/0!</v>
      </c>
      <c r="L153" s="1" t="e">
        <f>ROUND(J153/KÄYTTÖTAULU!$I$8,2)</f>
        <v>#DIV/0!</v>
      </c>
      <c r="M153" s="1" t="e">
        <f t="shared" si="40"/>
        <v>#DIV/0!</v>
      </c>
      <c r="N153" s="1" t="e">
        <f t="shared" si="41"/>
        <v>#DIV/0!</v>
      </c>
      <c r="O153" s="11"/>
      <c r="P153" s="11"/>
      <c r="Q153" s="11"/>
      <c r="R153" s="24">
        <v>0</v>
      </c>
      <c r="S153" s="25">
        <v>2</v>
      </c>
      <c r="T153" s="25">
        <v>2</v>
      </c>
      <c r="U153" s="25">
        <v>9</v>
      </c>
      <c r="V153" s="25">
        <v>6</v>
      </c>
      <c r="W153" s="50">
        <v>6</v>
      </c>
      <c r="X153" s="25">
        <v>1</v>
      </c>
      <c r="Y153" s="25">
        <f t="shared" si="32"/>
        <v>1.02</v>
      </c>
      <c r="Z153" s="25">
        <f t="shared" si="33"/>
        <v>1.0404</v>
      </c>
      <c r="AA153" s="25">
        <f t="shared" si="34"/>
        <v>1.134036</v>
      </c>
      <c r="AB153" s="25">
        <f t="shared" si="38"/>
        <v>1.2020781600000001</v>
      </c>
      <c r="AC153" s="50">
        <f t="shared" si="37"/>
        <v>1.2742028496000002</v>
      </c>
    </row>
    <row r="154" spans="1:29" ht="12.75">
      <c r="A154" s="1">
        <v>149</v>
      </c>
      <c r="B154" s="10" t="s">
        <v>473</v>
      </c>
      <c r="C154" s="200">
        <f>VLOOKUP(MID(B154,1,8)-0,'palkat 1.12.2018'!$B$9:$G$223,3,FALSE)</f>
        <v>2546.32</v>
      </c>
      <c r="D154" s="200">
        <f>VLOOKUP(MID(B154,1,8)-0,'palkat 1.12.2018'!$B$9:$G$223,5,FALSE)</f>
        <v>2522.09</v>
      </c>
      <c r="E154" s="11">
        <f>IF('muut muuttujat'!$G$3=1,C154,KÄYTTÖTAULU!$B$13)</f>
        <v>2546.32</v>
      </c>
      <c r="F154" s="11">
        <f>IF('muut muuttujat'!$G$3=1,D154,KÄYTTÖTAULU!$B$13)</f>
        <v>2522.09</v>
      </c>
      <c r="G154" s="11">
        <f>KÄYTTÖTAULU!$F$6</f>
        <v>0</v>
      </c>
      <c r="H154" s="11">
        <f>KÄYTTÖTAULU!$F$6</f>
        <v>0</v>
      </c>
      <c r="I154" s="11">
        <f t="shared" si="28"/>
        <v>0</v>
      </c>
      <c r="J154" s="11">
        <f t="shared" si="39"/>
        <v>0</v>
      </c>
      <c r="K154" s="1" t="e">
        <f>ROUND(I154/KÄYTTÖTAULU!$I$8,2)</f>
        <v>#DIV/0!</v>
      </c>
      <c r="L154" s="1" t="e">
        <f>ROUND(J154/KÄYTTÖTAULU!$I$8,2)</f>
        <v>#DIV/0!</v>
      </c>
      <c r="M154" s="1" t="e">
        <f t="shared" si="40"/>
        <v>#DIV/0!</v>
      </c>
      <c r="N154" s="1" t="e">
        <f t="shared" si="41"/>
        <v>#DIV/0!</v>
      </c>
      <c r="O154" s="11"/>
      <c r="P154" s="11"/>
      <c r="Q154" s="11"/>
      <c r="R154" s="24">
        <v>0</v>
      </c>
      <c r="S154" s="25">
        <v>2</v>
      </c>
      <c r="T154" s="25">
        <v>2</v>
      </c>
      <c r="U154" s="25">
        <v>9</v>
      </c>
      <c r="V154" s="25">
        <v>6</v>
      </c>
      <c r="W154" s="50">
        <v>6</v>
      </c>
      <c r="X154" s="25">
        <v>1</v>
      </c>
      <c r="Y154" s="25">
        <f t="shared" si="32"/>
        <v>1.02</v>
      </c>
      <c r="Z154" s="25">
        <f t="shared" si="33"/>
        <v>1.0404</v>
      </c>
      <c r="AA154" s="25">
        <f t="shared" si="34"/>
        <v>1.134036</v>
      </c>
      <c r="AB154" s="25">
        <f t="shared" si="38"/>
        <v>1.2020781600000001</v>
      </c>
      <c r="AC154" s="50">
        <f t="shared" si="37"/>
        <v>1.2742028496000002</v>
      </c>
    </row>
    <row r="155" spans="1:29" ht="12.75">
      <c r="A155" s="1">
        <v>150</v>
      </c>
      <c r="B155" s="10" t="s">
        <v>474</v>
      </c>
      <c r="C155" s="200">
        <f>VLOOKUP(MID(B155,1,8)-0,'palkat 1.12.2018'!$B$9:$G$223,3,FALSE)</f>
        <v>2332.74</v>
      </c>
      <c r="D155" s="200">
        <f>VLOOKUP(MID(B155,1,8)-0,'palkat 1.12.2018'!$B$9:$G$223,5,FALSE)</f>
        <v>2310.52</v>
      </c>
      <c r="E155" s="11">
        <f>IF('muut muuttujat'!$G$3=1,C155,KÄYTTÖTAULU!$B$13)</f>
        <v>2332.74</v>
      </c>
      <c r="F155" s="11">
        <f>IF('muut muuttujat'!$G$3=1,D155,KÄYTTÖTAULU!$B$13)</f>
        <v>2310.52</v>
      </c>
      <c r="G155" s="11">
        <f>KÄYTTÖTAULU!$F$6</f>
        <v>0</v>
      </c>
      <c r="H155" s="11">
        <f>KÄYTTÖTAULU!$F$6</f>
        <v>0</v>
      </c>
      <c r="I155" s="11">
        <f t="shared" si="28"/>
        <v>0</v>
      </c>
      <c r="J155" s="11">
        <f t="shared" si="39"/>
        <v>0</v>
      </c>
      <c r="K155" s="1" t="e">
        <f>ROUND(I155/KÄYTTÖTAULU!$I$8,2)</f>
        <v>#DIV/0!</v>
      </c>
      <c r="L155" s="1" t="e">
        <f>ROUND(J155/KÄYTTÖTAULU!$I$8,2)</f>
        <v>#DIV/0!</v>
      </c>
      <c r="M155" s="1" t="e">
        <f t="shared" si="40"/>
        <v>#DIV/0!</v>
      </c>
      <c r="N155" s="1" t="e">
        <f t="shared" si="41"/>
        <v>#DIV/0!</v>
      </c>
      <c r="O155" s="11"/>
      <c r="P155" s="11"/>
      <c r="Q155" s="11"/>
      <c r="R155" s="24">
        <v>0</v>
      </c>
      <c r="S155" s="25">
        <v>2</v>
      </c>
      <c r="T155" s="25">
        <v>2</v>
      </c>
      <c r="U155" s="25">
        <v>9</v>
      </c>
      <c r="V155" s="25">
        <v>6</v>
      </c>
      <c r="W155" s="50">
        <v>6</v>
      </c>
      <c r="X155" s="25">
        <v>1</v>
      </c>
      <c r="Y155" s="25">
        <f t="shared" si="32"/>
        <v>1.02</v>
      </c>
      <c r="Z155" s="25">
        <f t="shared" si="33"/>
        <v>1.0404</v>
      </c>
      <c r="AA155" s="25">
        <f t="shared" si="34"/>
        <v>1.134036</v>
      </c>
      <c r="AB155" s="25">
        <f t="shared" si="38"/>
        <v>1.2020781600000001</v>
      </c>
      <c r="AC155" s="50">
        <f t="shared" si="37"/>
        <v>1.2742028496000002</v>
      </c>
    </row>
    <row r="156" spans="1:29" ht="12.75">
      <c r="A156" s="1">
        <v>151</v>
      </c>
      <c r="B156" s="10" t="s">
        <v>475</v>
      </c>
      <c r="C156" s="200">
        <f>VLOOKUP(MID(B156,1,8)-0,'palkat 1.12.2018'!$B$9:$G$223,3,FALSE)</f>
        <v>2286.27</v>
      </c>
      <c r="D156" s="200">
        <f>VLOOKUP(MID(B156,1,8)-0,'palkat 1.12.2018'!$B$9:$G$223,5,FALSE)</f>
        <v>2264.48</v>
      </c>
      <c r="E156" s="11">
        <f>IF('muut muuttujat'!$G$3=1,C156,KÄYTTÖTAULU!$B$13)</f>
        <v>2286.27</v>
      </c>
      <c r="F156" s="11">
        <f>IF('muut muuttujat'!$G$3=1,D156,KÄYTTÖTAULU!$B$13)</f>
        <v>2264.48</v>
      </c>
      <c r="G156" s="11">
        <f>KÄYTTÖTAULU!$F$6</f>
        <v>0</v>
      </c>
      <c r="H156" s="11">
        <f>KÄYTTÖTAULU!$F$6</f>
        <v>0</v>
      </c>
      <c r="I156" s="11">
        <f t="shared" si="28"/>
        <v>0</v>
      </c>
      <c r="J156" s="11">
        <f t="shared" si="39"/>
        <v>0</v>
      </c>
      <c r="K156" s="1" t="e">
        <f>ROUND(I156/KÄYTTÖTAULU!$I$8,2)</f>
        <v>#DIV/0!</v>
      </c>
      <c r="L156" s="1" t="e">
        <f>ROUND(J156/KÄYTTÖTAULU!$I$8,2)</f>
        <v>#DIV/0!</v>
      </c>
      <c r="M156" s="1" t="e">
        <f t="shared" si="40"/>
        <v>#DIV/0!</v>
      </c>
      <c r="N156" s="1" t="e">
        <f t="shared" si="41"/>
        <v>#DIV/0!</v>
      </c>
      <c r="O156" s="11"/>
      <c r="P156" s="11"/>
      <c r="Q156" s="11"/>
      <c r="R156" s="24">
        <v>0</v>
      </c>
      <c r="S156" s="25">
        <v>2</v>
      </c>
      <c r="T156" s="25">
        <v>2</v>
      </c>
      <c r="U156" s="25">
        <v>9</v>
      </c>
      <c r="V156" s="25">
        <v>6</v>
      </c>
      <c r="W156" s="50">
        <v>6</v>
      </c>
      <c r="X156" s="25">
        <v>1</v>
      </c>
      <c r="Y156" s="25">
        <f t="shared" si="32"/>
        <v>1.02</v>
      </c>
      <c r="Z156" s="25">
        <f t="shared" si="33"/>
        <v>1.0404</v>
      </c>
      <c r="AA156" s="25">
        <f t="shared" si="34"/>
        <v>1.134036</v>
      </c>
      <c r="AB156" s="25">
        <f t="shared" si="38"/>
        <v>1.2020781600000001</v>
      </c>
      <c r="AC156" s="50">
        <f t="shared" si="37"/>
        <v>1.2742028496000002</v>
      </c>
    </row>
    <row r="157" spans="1:29" ht="12.75">
      <c r="A157" s="1">
        <v>152</v>
      </c>
      <c r="B157" s="249" t="s">
        <v>476</v>
      </c>
      <c r="C157" s="200">
        <f>VLOOKUP(MID(B157,1,8)-0,'palkat 1.12.2018'!$B$9:$G$223,3,FALSE)</f>
        <v>2127.34</v>
      </c>
      <c r="D157" s="200">
        <f>VLOOKUP(MID(B157,1,8)-0,'palkat 1.12.2018'!$B$9:$G$223,5,FALSE)</f>
        <v>2107.11</v>
      </c>
      <c r="E157" s="11">
        <f>IF('muut muuttujat'!$G$3=1,C157,KÄYTTÖTAULU!$B$13)</f>
        <v>2127.34</v>
      </c>
      <c r="F157" s="11">
        <f>IF('muut muuttujat'!$G$3=1,D157,KÄYTTÖTAULU!$B$13)</f>
        <v>2107.11</v>
      </c>
      <c r="G157" s="11">
        <f>KÄYTTÖTAULU!$F$6</f>
        <v>0</v>
      </c>
      <c r="H157" s="11">
        <f>KÄYTTÖTAULU!$F$6</f>
        <v>0</v>
      </c>
      <c r="I157" s="11">
        <f t="shared" si="28"/>
        <v>0</v>
      </c>
      <c r="J157" s="11">
        <f t="shared" si="39"/>
        <v>0</v>
      </c>
      <c r="K157" s="1" t="e">
        <f>ROUND(I157/KÄYTTÖTAULU!$I$8,2)</f>
        <v>#DIV/0!</v>
      </c>
      <c r="L157" s="1" t="e">
        <f>ROUND(J157/KÄYTTÖTAULU!$I$8,2)</f>
        <v>#DIV/0!</v>
      </c>
      <c r="M157" s="1" t="e">
        <f t="shared" si="40"/>
        <v>#DIV/0!</v>
      </c>
      <c r="N157" s="1" t="e">
        <f t="shared" si="41"/>
        <v>#DIV/0!</v>
      </c>
      <c r="O157" s="11"/>
      <c r="P157" s="11"/>
      <c r="Q157" s="11"/>
      <c r="R157" s="24">
        <v>0</v>
      </c>
      <c r="S157" s="25">
        <v>2</v>
      </c>
      <c r="T157" s="25">
        <v>2</v>
      </c>
      <c r="U157" s="25">
        <v>9</v>
      </c>
      <c r="V157" s="25">
        <v>6</v>
      </c>
      <c r="W157" s="50">
        <v>6</v>
      </c>
      <c r="X157" s="25">
        <v>1</v>
      </c>
      <c r="Y157" s="25">
        <f t="shared" si="32"/>
        <v>1.02</v>
      </c>
      <c r="Z157" s="25">
        <f t="shared" si="33"/>
        <v>1.0404</v>
      </c>
      <c r="AA157" s="25">
        <f t="shared" si="34"/>
        <v>1.134036</v>
      </c>
      <c r="AB157" s="25">
        <f t="shared" si="38"/>
        <v>1.2020781600000001</v>
      </c>
      <c r="AC157" s="50">
        <f t="shared" si="37"/>
        <v>1.2742028496000002</v>
      </c>
    </row>
    <row r="158" spans="1:29" ht="12.75">
      <c r="A158" s="1">
        <v>153</v>
      </c>
      <c r="B158" s="249" t="s">
        <v>477</v>
      </c>
      <c r="C158" s="200">
        <f>VLOOKUP(MID(B158,1,8)-0,'palkat 1.12.2018'!$B$9:$G$223,3,FALSE)</f>
        <v>27.84</v>
      </c>
      <c r="D158" s="200">
        <f>VLOOKUP(MID(B158,1,8)-0,'palkat 1.12.2018'!$B$9:$G$223,5,FALSE)</f>
        <v>0</v>
      </c>
      <c r="E158" s="11"/>
      <c r="F158" s="11"/>
      <c r="G158" s="11"/>
      <c r="H158" s="11"/>
      <c r="I158" s="11"/>
      <c r="J158" s="11"/>
      <c r="O158" s="11"/>
      <c r="P158" s="11"/>
      <c r="Q158" s="201">
        <f>'palkat 1.12.2018'!D207</f>
        <v>27.84</v>
      </c>
      <c r="R158" s="24"/>
      <c r="S158" s="25"/>
      <c r="T158" s="25"/>
      <c r="U158" s="25"/>
      <c r="V158" s="25"/>
      <c r="W158" s="50"/>
      <c r="X158" s="25"/>
      <c r="Y158" s="25"/>
      <c r="Z158" s="25"/>
      <c r="AA158" s="25"/>
      <c r="AB158" s="25"/>
      <c r="AC158" s="50"/>
    </row>
    <row r="159" spans="1:29" ht="12.75">
      <c r="A159" s="1">
        <v>154</v>
      </c>
      <c r="B159" s="249" t="s">
        <v>478</v>
      </c>
      <c r="C159" s="200">
        <f>VLOOKUP(MID(B159,1,8)-0,'palkat 1.12.2018'!$B$9:$G$223,3,FALSE)</f>
        <v>27.32</v>
      </c>
      <c r="D159" s="200">
        <f>VLOOKUP(MID(B159,1,8)-0,'palkat 1.12.2018'!$B$9:$G$223,5,FALSE)</f>
        <v>0</v>
      </c>
      <c r="E159" s="11"/>
      <c r="F159" s="11"/>
      <c r="G159" s="11"/>
      <c r="H159" s="11"/>
      <c r="I159" s="11"/>
      <c r="J159" s="11"/>
      <c r="O159" s="11"/>
      <c r="P159" s="11"/>
      <c r="Q159" s="201">
        <f>'palkat 1.12.2018'!D208</f>
        <v>27.32</v>
      </c>
      <c r="R159" s="24"/>
      <c r="S159" s="25"/>
      <c r="T159" s="25"/>
      <c r="U159" s="25"/>
      <c r="V159" s="25"/>
      <c r="W159" s="50"/>
      <c r="X159" s="25"/>
      <c r="Y159" s="25"/>
      <c r="Z159" s="25"/>
      <c r="AA159" s="25"/>
      <c r="AB159" s="25"/>
      <c r="AC159" s="50"/>
    </row>
    <row r="160" spans="1:29" ht="12.75">
      <c r="A160" s="1">
        <v>155</v>
      </c>
      <c r="B160" s="10" t="s">
        <v>479</v>
      </c>
      <c r="C160" s="200">
        <f>VLOOKUP(MID(B160,1,8)-0,'palkat 1.12.2018'!$B$9:$G$223,3,FALSE)</f>
        <v>25.59</v>
      </c>
      <c r="D160" s="200">
        <f>VLOOKUP(MID(B160,1,8)-0,'palkat 1.12.2018'!$B$9:$G$223,5,FALSE)</f>
        <v>0</v>
      </c>
      <c r="E160" s="11"/>
      <c r="F160" s="11"/>
      <c r="G160" s="11"/>
      <c r="H160" s="11"/>
      <c r="I160" s="11"/>
      <c r="J160" s="11"/>
      <c r="O160" s="11"/>
      <c r="P160" s="11"/>
      <c r="Q160" s="201">
        <f>'palkat 1.12.2018'!D209</f>
        <v>25.59</v>
      </c>
      <c r="R160" s="24"/>
      <c r="S160" s="25"/>
      <c r="T160" s="25"/>
      <c r="U160" s="25"/>
      <c r="V160" s="25"/>
      <c r="W160" s="50"/>
      <c r="X160" s="25"/>
      <c r="Y160" s="25"/>
      <c r="Z160" s="25"/>
      <c r="AA160" s="25"/>
      <c r="AB160" s="25"/>
      <c r="AC160" s="50"/>
    </row>
    <row r="161" spans="1:29" ht="12.75">
      <c r="A161" s="1">
        <v>156</v>
      </c>
      <c r="B161" s="10" t="s">
        <v>480</v>
      </c>
      <c r="C161" s="200">
        <f>VLOOKUP(MID(B161,1,8)-0,'palkat 1.12.2018'!$B$9:$G$223,3,FALSE)</f>
        <v>3196.38</v>
      </c>
      <c r="D161" s="200">
        <f>VLOOKUP(MID(B161,1,8)-0,'palkat 1.12.2018'!$B$9:$G$223,5,FALSE)</f>
        <v>3171.95</v>
      </c>
      <c r="E161" s="11">
        <f>IF('muut muuttujat'!$G$3=1,C161,KÄYTTÖTAULU!$B$13)</f>
        <v>3196.38</v>
      </c>
      <c r="F161" s="11">
        <f>IF('muut muuttujat'!$G$3=1,D161,KÄYTTÖTAULU!$B$13)</f>
        <v>3171.95</v>
      </c>
      <c r="G161" s="11">
        <f>KÄYTTÖTAULU!$F$6</f>
        <v>0</v>
      </c>
      <c r="H161" s="11">
        <f>KÄYTTÖTAULU!$F$6</f>
        <v>0</v>
      </c>
      <c r="I161" s="11"/>
      <c r="J161" s="11"/>
      <c r="O161" s="11"/>
      <c r="P161" s="11"/>
      <c r="Q161" s="11"/>
      <c r="R161" s="24">
        <v>0</v>
      </c>
      <c r="S161" s="25">
        <v>0</v>
      </c>
      <c r="T161" s="25">
        <v>0</v>
      </c>
      <c r="U161" s="25">
        <v>5</v>
      </c>
      <c r="V161" s="25">
        <v>4</v>
      </c>
      <c r="W161" s="50">
        <v>6</v>
      </c>
      <c r="X161" s="25">
        <v>1</v>
      </c>
      <c r="Y161" s="25">
        <f>1+S161/100</f>
        <v>1</v>
      </c>
      <c r="Z161" s="25">
        <f aca="true" t="shared" si="42" ref="Z161:AC164">(1+T161/100)*Y161</f>
        <v>1</v>
      </c>
      <c r="AA161" s="25">
        <f t="shared" si="42"/>
        <v>1.05</v>
      </c>
      <c r="AB161" s="25">
        <f t="shared" si="42"/>
        <v>1.092</v>
      </c>
      <c r="AC161" s="50">
        <f t="shared" si="42"/>
        <v>1.15752</v>
      </c>
    </row>
    <row r="162" spans="1:29" ht="12.75">
      <c r="A162" s="1">
        <v>157</v>
      </c>
      <c r="B162" s="10" t="s">
        <v>481</v>
      </c>
      <c r="C162" s="200">
        <f>VLOOKUP(MID(B162,1,8)-0,'palkat 1.12.2018'!$B$9:$G$223,3,FALSE)</f>
        <v>3196.38</v>
      </c>
      <c r="D162" s="200">
        <f>VLOOKUP(MID(B162,1,8)-0,'palkat 1.12.2018'!$B$9:$G$223,5,FALSE)</f>
        <v>3171.95</v>
      </c>
      <c r="E162" s="11">
        <f>IF('muut muuttujat'!$G$3=1,C162,KÄYTTÖTAULU!$B$13)</f>
        <v>3196.38</v>
      </c>
      <c r="F162" s="11">
        <f>IF('muut muuttujat'!$G$3=1,D162,KÄYTTÖTAULU!$B$13)</f>
        <v>3171.95</v>
      </c>
      <c r="G162" s="11">
        <f>KÄYTTÖTAULU!$F$6</f>
        <v>0</v>
      </c>
      <c r="H162" s="11">
        <f>KÄYTTÖTAULU!$F$6</f>
        <v>0</v>
      </c>
      <c r="I162" s="11"/>
      <c r="J162" s="11"/>
      <c r="O162" s="11"/>
      <c r="P162" s="11"/>
      <c r="Q162" s="11"/>
      <c r="R162" s="24">
        <v>0</v>
      </c>
      <c r="S162" s="25">
        <v>0</v>
      </c>
      <c r="T162" s="25">
        <v>0</v>
      </c>
      <c r="U162" s="25">
        <v>5</v>
      </c>
      <c r="V162" s="25">
        <v>4</v>
      </c>
      <c r="W162" s="50">
        <v>6</v>
      </c>
      <c r="X162" s="25">
        <v>1</v>
      </c>
      <c r="Y162" s="25">
        <f>1+S162/100</f>
        <v>1</v>
      </c>
      <c r="Z162" s="25">
        <f t="shared" si="42"/>
        <v>1</v>
      </c>
      <c r="AA162" s="25">
        <f t="shared" si="42"/>
        <v>1.05</v>
      </c>
      <c r="AB162" s="25">
        <f t="shared" si="42"/>
        <v>1.092</v>
      </c>
      <c r="AC162" s="50">
        <f t="shared" si="42"/>
        <v>1.15752</v>
      </c>
    </row>
    <row r="163" spans="1:29" ht="12.75">
      <c r="A163" s="1">
        <v>158</v>
      </c>
      <c r="B163" s="10" t="s">
        <v>482</v>
      </c>
      <c r="C163" s="200">
        <f>VLOOKUP(MID(B163,1,8)-0,'palkat 1.12.2018'!$B$9:$G$223,3,FALSE)</f>
        <v>2170.19</v>
      </c>
      <c r="D163" s="200">
        <f>VLOOKUP(MID(B163,1,8)-0,'palkat 1.12.2018'!$B$9:$G$223,5,FALSE)</f>
        <v>2150.65</v>
      </c>
      <c r="E163" s="11">
        <f>IF('muut muuttujat'!$G$3=1,C163,KÄYTTÖTAULU!$B$13)</f>
        <v>2170.19</v>
      </c>
      <c r="F163" s="11">
        <f>IF('muut muuttujat'!$G$3=1,D163,KÄYTTÖTAULU!$B$13)</f>
        <v>2150.65</v>
      </c>
      <c r="G163" s="11">
        <f>KÄYTTÖTAULU!$F$6</f>
        <v>0</v>
      </c>
      <c r="H163" s="11">
        <f>KÄYTTÖTAULU!$F$6</f>
        <v>0</v>
      </c>
      <c r="I163" s="11">
        <f>G163*0.83</f>
        <v>0</v>
      </c>
      <c r="J163" s="11">
        <f>H163*0.83</f>
        <v>0</v>
      </c>
      <c r="O163" s="11"/>
      <c r="P163" s="11"/>
      <c r="Q163" s="11"/>
      <c r="R163" s="24">
        <v>0</v>
      </c>
      <c r="S163" s="25">
        <v>2</v>
      </c>
      <c r="T163" s="25">
        <v>2</v>
      </c>
      <c r="U163" s="25">
        <v>5</v>
      </c>
      <c r="V163" s="25">
        <v>10</v>
      </c>
      <c r="W163" s="50">
        <v>10</v>
      </c>
      <c r="X163" s="25">
        <v>1</v>
      </c>
      <c r="Y163" s="25">
        <f>1+S163/100</f>
        <v>1.02</v>
      </c>
      <c r="Z163" s="25">
        <f t="shared" si="42"/>
        <v>1.0404</v>
      </c>
      <c r="AA163" s="25">
        <f t="shared" si="42"/>
        <v>1.09242</v>
      </c>
      <c r="AB163" s="25">
        <f t="shared" si="42"/>
        <v>1.201662</v>
      </c>
      <c r="AC163" s="50">
        <f t="shared" si="42"/>
        <v>1.3218282000000001</v>
      </c>
    </row>
    <row r="164" spans="1:29" ht="12.75">
      <c r="A164" s="1">
        <v>159</v>
      </c>
      <c r="B164" s="10" t="s">
        <v>483</v>
      </c>
      <c r="C164" s="200">
        <f>VLOOKUP(MID(B164,1,8)-0,'palkat 1.12.2018'!$B$9:$G$223,3,FALSE)</f>
        <v>2252.84</v>
      </c>
      <c r="D164" s="200">
        <f>VLOOKUP(MID(B164,1,8)-0,'palkat 1.12.2018'!$B$9:$G$223,5,FALSE)</f>
        <v>2232.37</v>
      </c>
      <c r="E164" s="11">
        <f>IF('muut muuttujat'!$G$3=1,C164,KÄYTTÖTAULU!$B$13)</f>
        <v>2252.84</v>
      </c>
      <c r="F164" s="11">
        <f>IF('muut muuttujat'!$G$3=1,D164,KÄYTTÖTAULU!$B$13)</f>
        <v>2232.37</v>
      </c>
      <c r="G164" s="11">
        <f>KÄYTTÖTAULU!$F$6</f>
        <v>0</v>
      </c>
      <c r="H164" s="11">
        <f>KÄYTTÖTAULU!$F$6</f>
        <v>0</v>
      </c>
      <c r="I164" s="11">
        <f>G164*0.83</f>
        <v>0</v>
      </c>
      <c r="J164" s="11">
        <f>H164*0.83</f>
        <v>0</v>
      </c>
      <c r="O164" s="11"/>
      <c r="P164" s="11"/>
      <c r="Q164" s="11"/>
      <c r="R164" s="24">
        <v>0</v>
      </c>
      <c r="S164" s="25">
        <v>2</v>
      </c>
      <c r="T164" s="25">
        <v>2</v>
      </c>
      <c r="U164" s="25">
        <v>5</v>
      </c>
      <c r="V164" s="25">
        <v>10</v>
      </c>
      <c r="W164" s="50">
        <v>10</v>
      </c>
      <c r="X164" s="25">
        <v>1</v>
      </c>
      <c r="Y164" s="25">
        <f>1+S164/100</f>
        <v>1.02</v>
      </c>
      <c r="Z164" s="25">
        <f t="shared" si="42"/>
        <v>1.0404</v>
      </c>
      <c r="AA164" s="25">
        <f t="shared" si="42"/>
        <v>1.09242</v>
      </c>
      <c r="AB164" s="25">
        <f t="shared" si="42"/>
        <v>1.201662</v>
      </c>
      <c r="AC164" s="50">
        <f t="shared" si="42"/>
        <v>1.3218282000000001</v>
      </c>
    </row>
    <row r="165" spans="1:29" ht="12.75">
      <c r="A165" s="1">
        <v>160</v>
      </c>
      <c r="B165" s="10" t="s">
        <v>484</v>
      </c>
      <c r="C165" s="200">
        <f>VLOOKUP(MID(B165,1,8)-0,'palkat 1.12.2018'!$B$9:$G$223,3,FALSE)</f>
        <v>24.47</v>
      </c>
      <c r="D165" s="200">
        <f>VLOOKUP(MID(B165,1,8)-0,'palkat 1.12.2018'!$B$9:$G$223,5,FALSE)</f>
        <v>0</v>
      </c>
      <c r="E165" s="11"/>
      <c r="F165" s="11"/>
      <c r="G165" s="11"/>
      <c r="H165" s="11"/>
      <c r="I165" s="11"/>
      <c r="J165" s="11"/>
      <c r="O165" s="11"/>
      <c r="P165" s="11"/>
      <c r="Q165" s="200">
        <f>'palkat 1.12.2018'!D213</f>
        <v>24.47</v>
      </c>
      <c r="R165" s="24"/>
      <c r="S165" s="25"/>
      <c r="T165" s="25"/>
      <c r="U165" s="25"/>
      <c r="V165" s="25"/>
      <c r="W165" s="50"/>
      <c r="X165" s="25"/>
      <c r="Y165" s="25"/>
      <c r="Z165" s="25"/>
      <c r="AA165" s="25"/>
      <c r="AB165" s="25"/>
      <c r="AC165" s="50"/>
    </row>
    <row r="166" spans="1:29" ht="12.75">
      <c r="A166" s="1">
        <v>161</v>
      </c>
      <c r="B166" s="10" t="s">
        <v>485</v>
      </c>
      <c r="C166" s="200">
        <f>VLOOKUP(MID(B166,1,8)-0,'palkat 1.12.2018'!$B$9:$G$223,3,FALSE)</f>
        <v>3626.25</v>
      </c>
      <c r="D166" s="200">
        <f>VLOOKUP(MID(B166,1,8)-0,'palkat 1.12.2018'!$B$9:$G$223,5,FALSE)</f>
        <v>3591.54</v>
      </c>
      <c r="E166" s="11">
        <f>IF('muut muuttujat'!$G$3=1,C166,KÄYTTÖTAULU!$B$13)</f>
        <v>3626.25</v>
      </c>
      <c r="F166" s="11">
        <f>IF('muut muuttujat'!$G$3=1,D166,KÄYTTÖTAULU!$B$13)</f>
        <v>3591.54</v>
      </c>
      <c r="G166" s="11">
        <f>KÄYTTÖTAULU!$F$6</f>
        <v>0</v>
      </c>
      <c r="H166" s="11">
        <f>KÄYTTÖTAULU!$F$6</f>
        <v>0</v>
      </c>
      <c r="I166" s="11"/>
      <c r="J166" s="11"/>
      <c r="O166" s="11"/>
      <c r="P166" s="11"/>
      <c r="Q166" s="11"/>
      <c r="R166" s="24">
        <v>0</v>
      </c>
      <c r="S166" s="25">
        <v>0</v>
      </c>
      <c r="T166" s="25">
        <v>0</v>
      </c>
      <c r="U166" s="25">
        <v>5</v>
      </c>
      <c r="V166" s="25">
        <v>4</v>
      </c>
      <c r="W166" s="50">
        <v>6</v>
      </c>
      <c r="X166" s="25">
        <v>1</v>
      </c>
      <c r="Y166" s="25">
        <f t="shared" si="32"/>
        <v>1</v>
      </c>
      <c r="Z166" s="25">
        <f t="shared" si="33"/>
        <v>1</v>
      </c>
      <c r="AA166" s="25">
        <f t="shared" si="34"/>
        <v>1.05</v>
      </c>
      <c r="AB166" s="25">
        <f t="shared" si="38"/>
        <v>1.092</v>
      </c>
      <c r="AC166" s="50">
        <f t="shared" si="37"/>
        <v>1.15752</v>
      </c>
    </row>
    <row r="167" spans="1:29" ht="12.75">
      <c r="A167" s="1">
        <v>162</v>
      </c>
      <c r="B167" s="10" t="s">
        <v>486</v>
      </c>
      <c r="C167" s="200">
        <f>VLOOKUP(MID(B167,1,8)-0,'palkat 1.12.2018'!$B$9:$G$223,3,FALSE)</f>
        <v>3070.06</v>
      </c>
      <c r="D167" s="200">
        <f>VLOOKUP(MID(B167,1,8)-0,'palkat 1.12.2018'!$B$9:$G$223,5,FALSE)</f>
        <v>3040.68</v>
      </c>
      <c r="E167" s="11">
        <f>IF('muut muuttujat'!$G$3=1,C167,KÄYTTÖTAULU!$B$13)</f>
        <v>3070.06</v>
      </c>
      <c r="F167" s="11">
        <f>IF('muut muuttujat'!$G$3=1,D167,KÄYTTÖTAULU!$B$13)</f>
        <v>3040.68</v>
      </c>
      <c r="G167" s="11">
        <f>KÄYTTÖTAULU!$F$6</f>
        <v>0</v>
      </c>
      <c r="H167" s="11">
        <f>KÄYTTÖTAULU!$F$6</f>
        <v>0</v>
      </c>
      <c r="I167" s="11"/>
      <c r="J167" s="11"/>
      <c r="O167" s="11"/>
      <c r="P167" s="11"/>
      <c r="Q167" s="11"/>
      <c r="R167" s="24">
        <v>0</v>
      </c>
      <c r="S167" s="25">
        <v>0</v>
      </c>
      <c r="T167" s="25">
        <v>0</v>
      </c>
      <c r="U167" s="25">
        <v>5</v>
      </c>
      <c r="V167" s="25">
        <v>4</v>
      </c>
      <c r="W167" s="50">
        <v>6</v>
      </c>
      <c r="X167" s="25">
        <v>1</v>
      </c>
      <c r="Y167" s="25">
        <f t="shared" si="32"/>
        <v>1</v>
      </c>
      <c r="Z167" s="25">
        <f t="shared" si="33"/>
        <v>1</v>
      </c>
      <c r="AA167" s="25">
        <f t="shared" si="34"/>
        <v>1.05</v>
      </c>
      <c r="AB167" s="25">
        <f t="shared" si="38"/>
        <v>1.092</v>
      </c>
      <c r="AC167" s="50">
        <f t="shared" si="37"/>
        <v>1.15752</v>
      </c>
    </row>
    <row r="168" spans="1:29" ht="12.75">
      <c r="A168" s="1">
        <v>163</v>
      </c>
      <c r="B168" s="10" t="s">
        <v>487</v>
      </c>
      <c r="C168" s="200">
        <f>VLOOKUP(MID(B168,1,8)-0,'palkat 1.12.2018'!$B$9:$G$223,3,FALSE)</f>
        <v>2557.59</v>
      </c>
      <c r="D168" s="200">
        <f>VLOOKUP(MID(B168,1,8)-0,'palkat 1.12.2018'!$B$9:$G$223,5,FALSE)</f>
        <v>2533.35</v>
      </c>
      <c r="E168" s="11">
        <f>IF('muut muuttujat'!$G$3=1,C168,KÄYTTÖTAULU!$B$13)</f>
        <v>2557.59</v>
      </c>
      <c r="F168" s="11">
        <f>IF('muut muuttujat'!$G$3=1,D168,KÄYTTÖTAULU!$B$13)</f>
        <v>2533.35</v>
      </c>
      <c r="G168" s="11">
        <f>KÄYTTÖTAULU!$F$6</f>
        <v>0</v>
      </c>
      <c r="H168" s="11">
        <f>KÄYTTÖTAULU!$F$6</f>
        <v>0</v>
      </c>
      <c r="I168" s="11"/>
      <c r="J168" s="11"/>
      <c r="O168" s="11"/>
      <c r="P168" s="11"/>
      <c r="Q168" s="11"/>
      <c r="R168" s="24">
        <v>0</v>
      </c>
      <c r="S168" s="25">
        <v>2</v>
      </c>
      <c r="T168" s="25">
        <v>2</v>
      </c>
      <c r="U168" s="25">
        <v>10</v>
      </c>
      <c r="V168" s="25">
        <v>10</v>
      </c>
      <c r="W168" s="50">
        <v>10</v>
      </c>
      <c r="X168" s="25">
        <v>1</v>
      </c>
      <c r="Y168" s="25">
        <f>1+S168/100</f>
        <v>1.02</v>
      </c>
      <c r="Z168" s="25">
        <f aca="true" t="shared" si="43" ref="Z168:AC169">(1+T168/100)*Y168</f>
        <v>1.0404</v>
      </c>
      <c r="AA168" s="25">
        <f t="shared" si="43"/>
        <v>1.1444400000000001</v>
      </c>
      <c r="AB168" s="25">
        <f t="shared" si="43"/>
        <v>1.2588840000000003</v>
      </c>
      <c r="AC168" s="50">
        <f t="shared" si="43"/>
        <v>1.3847724000000006</v>
      </c>
    </row>
    <row r="169" spans="1:29" ht="12.75">
      <c r="A169" s="1">
        <v>164</v>
      </c>
      <c r="B169" s="10" t="s">
        <v>488</v>
      </c>
      <c r="C169" s="200">
        <f>VLOOKUP(MID(B169,1,8)-0,'palkat 1.12.2018'!$B$9:$G$223,3,FALSE)</f>
        <v>2301.21</v>
      </c>
      <c r="D169" s="200">
        <f>VLOOKUP(MID(B169,1,8)-0,'palkat 1.12.2018'!$B$9:$G$223,5,FALSE)</f>
        <v>2279.42</v>
      </c>
      <c r="E169" s="11">
        <f>IF('muut muuttujat'!$G$3=1,C169,KÄYTTÖTAULU!$B$13)</f>
        <v>2301.21</v>
      </c>
      <c r="F169" s="11">
        <f>IF('muut muuttujat'!$G$3=1,D169,KÄYTTÖTAULU!$B$13)</f>
        <v>2279.42</v>
      </c>
      <c r="G169" s="11">
        <f>KÄYTTÖTAULU!$F$6</f>
        <v>0</v>
      </c>
      <c r="H169" s="11">
        <f>KÄYTTÖTAULU!$F$6</f>
        <v>0</v>
      </c>
      <c r="I169" s="11"/>
      <c r="J169" s="11"/>
      <c r="O169" s="11"/>
      <c r="P169" s="11"/>
      <c r="Q169" s="11"/>
      <c r="R169" s="24">
        <v>0</v>
      </c>
      <c r="S169" s="25">
        <v>2</v>
      </c>
      <c r="T169" s="25">
        <v>2</v>
      </c>
      <c r="U169" s="25">
        <v>10</v>
      </c>
      <c r="V169" s="25">
        <v>10</v>
      </c>
      <c r="W169" s="50">
        <v>10</v>
      </c>
      <c r="X169" s="25">
        <v>1</v>
      </c>
      <c r="Y169" s="25">
        <f>1+S169/100</f>
        <v>1.02</v>
      </c>
      <c r="Z169" s="25">
        <f t="shared" si="43"/>
        <v>1.0404</v>
      </c>
      <c r="AA169" s="25">
        <f t="shared" si="43"/>
        <v>1.1444400000000001</v>
      </c>
      <c r="AB169" s="25">
        <f t="shared" si="43"/>
        <v>1.2588840000000003</v>
      </c>
      <c r="AC169" s="50">
        <f t="shared" si="43"/>
        <v>1.3847724000000006</v>
      </c>
    </row>
    <row r="170" spans="1:29" ht="12.75">
      <c r="A170" s="1">
        <v>165</v>
      </c>
      <c r="B170" s="10" t="s">
        <v>489</v>
      </c>
      <c r="C170" s="200">
        <f>VLOOKUP(MID(B170,1,8)-0,'palkat 1.12.2018'!$B$9:$G$223,3,FALSE)</f>
        <v>2831.6</v>
      </c>
      <c r="D170" s="200">
        <f>VLOOKUP(MID(B170,1,8)-0,'palkat 1.12.2018'!$B$9:$G$223,5,FALSE)</f>
        <v>0</v>
      </c>
      <c r="E170" s="11">
        <f>IF('muut muuttujat'!$G$3=1,C170,KÄYTTÖTAULU!$B$13)</f>
        <v>2831.6</v>
      </c>
      <c r="F170" s="11">
        <f>IF('muut muuttujat'!$G$3=1,D170,KÄYTTÖTAULU!$B$13)</f>
        <v>0</v>
      </c>
      <c r="G170" s="11">
        <f>KÄYTTÖTAULU!$F$6</f>
        <v>0</v>
      </c>
      <c r="H170" s="11">
        <f>KÄYTTÖTAULU!$F$6</f>
        <v>0</v>
      </c>
      <c r="I170" s="11">
        <f t="shared" si="28"/>
        <v>0</v>
      </c>
      <c r="J170" s="11">
        <f>H170*0.83</f>
        <v>0</v>
      </c>
      <c r="K170" s="1" t="e">
        <f>ROUND(I170/KÄYTTÖTAULU!$I$8,2)</f>
        <v>#DIV/0!</v>
      </c>
      <c r="L170" s="1" t="e">
        <f>ROUND(J170/KÄYTTÖTAULU!$I$8,2)</f>
        <v>#DIV/0!</v>
      </c>
      <c r="M170" s="1" t="e">
        <f>ROUND(K170*(12/38),2)</f>
        <v>#DIV/0!</v>
      </c>
      <c r="N170" s="1" t="e">
        <f>ROUND(L170*(12/38),2)</f>
        <v>#DIV/0!</v>
      </c>
      <c r="O170" s="11"/>
      <c r="P170" s="336"/>
      <c r="Q170" s="11"/>
      <c r="R170" s="24">
        <v>0</v>
      </c>
      <c r="S170" s="25">
        <v>2</v>
      </c>
      <c r="T170" s="25">
        <v>2</v>
      </c>
      <c r="U170" s="25">
        <v>9</v>
      </c>
      <c r="V170" s="25">
        <v>6</v>
      </c>
      <c r="W170" s="50">
        <v>6</v>
      </c>
      <c r="X170" s="25">
        <v>1</v>
      </c>
      <c r="Y170" s="25">
        <f t="shared" si="32"/>
        <v>1.02</v>
      </c>
      <c r="Z170" s="25">
        <f t="shared" si="33"/>
        <v>1.0404</v>
      </c>
      <c r="AA170" s="25">
        <f t="shared" si="34"/>
        <v>1.134036</v>
      </c>
      <c r="AB170" s="25">
        <f t="shared" si="38"/>
        <v>1.2020781600000001</v>
      </c>
      <c r="AC170" s="50">
        <f t="shared" si="37"/>
        <v>1.2742028496000002</v>
      </c>
    </row>
    <row r="171" spans="1:29" ht="12.75">
      <c r="A171" s="1">
        <v>166</v>
      </c>
      <c r="B171" s="10" t="s">
        <v>490</v>
      </c>
      <c r="C171" s="200">
        <f>VLOOKUP(MID(B171,1,8)-0,'palkat 1.12.2018'!$B$9:$G$223,3,FALSE)</f>
        <v>2561.03</v>
      </c>
      <c r="D171" s="200">
        <f>VLOOKUP(MID(B171,1,8)-0,'palkat 1.12.2018'!$B$9:$G$223,5,FALSE)</f>
        <v>0</v>
      </c>
      <c r="E171" s="11">
        <f>IF('muut muuttujat'!$G$3=1,C171,KÄYTTÖTAULU!$B$13)</f>
        <v>2561.03</v>
      </c>
      <c r="F171" s="11">
        <f>IF('muut muuttujat'!$G$3=1,D171,KÄYTTÖTAULU!$B$13)</f>
        <v>0</v>
      </c>
      <c r="G171" s="11">
        <f>KÄYTTÖTAULU!$F$6</f>
        <v>0</v>
      </c>
      <c r="H171" s="11">
        <f>KÄYTTÖTAULU!$F$6</f>
        <v>0</v>
      </c>
      <c r="I171" s="11">
        <f t="shared" si="28"/>
        <v>0</v>
      </c>
      <c r="J171" s="11">
        <f>H171*0.83</f>
        <v>0</v>
      </c>
      <c r="K171" s="1" t="e">
        <f>ROUND(I171/KÄYTTÖTAULU!$I$8,2)</f>
        <v>#DIV/0!</v>
      </c>
      <c r="L171" s="1" t="e">
        <f>ROUND(J171/KÄYTTÖTAULU!$I$8,2)</f>
        <v>#DIV/0!</v>
      </c>
      <c r="M171" s="1" t="e">
        <f>ROUND(K171*(12/38),2)</f>
        <v>#DIV/0!</v>
      </c>
      <c r="N171" s="1" t="e">
        <f>ROUND(L171*(12/38),2)</f>
        <v>#DIV/0!</v>
      </c>
      <c r="O171" s="11"/>
      <c r="P171" s="11"/>
      <c r="Q171" s="11"/>
      <c r="R171" s="24">
        <v>0</v>
      </c>
      <c r="S171" s="25">
        <v>2</v>
      </c>
      <c r="T171" s="25">
        <v>2</v>
      </c>
      <c r="U171" s="25">
        <v>9</v>
      </c>
      <c r="V171" s="25">
        <v>6</v>
      </c>
      <c r="W171" s="50">
        <v>6</v>
      </c>
      <c r="X171" s="25">
        <v>1</v>
      </c>
      <c r="Y171" s="25">
        <f t="shared" si="32"/>
        <v>1.02</v>
      </c>
      <c r="Z171" s="25">
        <f t="shared" si="33"/>
        <v>1.0404</v>
      </c>
      <c r="AA171" s="25">
        <f t="shared" si="34"/>
        <v>1.134036</v>
      </c>
      <c r="AB171" s="25">
        <f t="shared" si="38"/>
        <v>1.2020781600000001</v>
      </c>
      <c r="AC171" s="50">
        <f t="shared" si="37"/>
        <v>1.2742028496000002</v>
      </c>
    </row>
    <row r="172" spans="1:29" ht="12.75">
      <c r="A172" s="1">
        <v>167</v>
      </c>
      <c r="B172" s="10" t="s">
        <v>491</v>
      </c>
      <c r="C172" s="200">
        <f>VLOOKUP(MID(B172,1,8)-0,'palkat 1.12.2018'!$B$9:$G$223,3,FALSE)</f>
        <v>24.92</v>
      </c>
      <c r="D172" s="200">
        <f>VLOOKUP(MID(B172,1,8)-0,'palkat 1.12.2018'!$B$9:$G$223,5,FALSE)</f>
        <v>0</v>
      </c>
      <c r="E172" s="11"/>
      <c r="F172" s="11"/>
      <c r="G172" s="11"/>
      <c r="H172" s="11"/>
      <c r="I172" s="11"/>
      <c r="J172" s="11"/>
      <c r="O172" s="11"/>
      <c r="P172" s="11"/>
      <c r="Q172" s="247">
        <f>ROUND(ROUND('palkat 1.12.2018'!$D$218*IF('muut muuttujat'!$A$11=1,1.06,1),2)*(1+KÄYTTÖTAULU!$M$20/100),2)</f>
        <v>26.42</v>
      </c>
      <c r="R172" s="24"/>
      <c r="S172" s="25"/>
      <c r="T172" s="25"/>
      <c r="U172" s="25"/>
      <c r="V172" s="25"/>
      <c r="W172" s="50"/>
      <c r="X172" s="25"/>
      <c r="Y172" s="25"/>
      <c r="Z172" s="25"/>
      <c r="AA172" s="25"/>
      <c r="AB172" s="25"/>
      <c r="AC172" s="50"/>
    </row>
    <row r="173" spans="1:29" ht="12.75">
      <c r="A173" s="1">
        <v>168</v>
      </c>
      <c r="B173" s="10" t="s">
        <v>492</v>
      </c>
      <c r="C173" s="200">
        <f>VLOOKUP(MID(B173,1,8)-0,'palkat 1.12.2018'!$B$9:$G$223,3,FALSE)</f>
        <v>3524.68</v>
      </c>
      <c r="D173" s="200">
        <f>VLOOKUP(MID(B173,1,8)-0,'palkat 1.12.2018'!$B$9:$G$223,5,FALSE)</f>
        <v>3490.96</v>
      </c>
      <c r="E173" s="11">
        <f>IF('muut muuttujat'!$G$3=1,C173,KÄYTTÖTAULU!$B$13)</f>
        <v>3524.68</v>
      </c>
      <c r="F173" s="11">
        <f>IF('muut muuttujat'!$G$3=1,D173,KÄYTTÖTAULU!$B$13)</f>
        <v>3490.96</v>
      </c>
      <c r="G173" s="11">
        <f>KÄYTTÖTAULU!$F$6</f>
        <v>0</v>
      </c>
      <c r="H173" s="11">
        <f>KÄYTTÖTAULU!$F$6</f>
        <v>0</v>
      </c>
      <c r="I173" s="11"/>
      <c r="J173" s="11"/>
      <c r="O173" s="11"/>
      <c r="P173" s="11"/>
      <c r="Q173" s="217"/>
      <c r="R173" s="24">
        <v>0</v>
      </c>
      <c r="S173" s="25">
        <v>0</v>
      </c>
      <c r="T173" s="25">
        <v>0</v>
      </c>
      <c r="U173" s="25">
        <v>5</v>
      </c>
      <c r="V173" s="25">
        <v>4</v>
      </c>
      <c r="W173" s="50">
        <v>6</v>
      </c>
      <c r="X173" s="25">
        <v>1</v>
      </c>
      <c r="Y173" s="25">
        <f aca="true" t="shared" si="44" ref="Y173:Y178">1+S173/100</f>
        <v>1</v>
      </c>
      <c r="Z173" s="25">
        <f aca="true" t="shared" si="45" ref="Z173:AC178">(1+T173/100)*Y173</f>
        <v>1</v>
      </c>
      <c r="AA173" s="25">
        <f t="shared" si="45"/>
        <v>1.05</v>
      </c>
      <c r="AB173" s="25">
        <f t="shared" si="45"/>
        <v>1.092</v>
      </c>
      <c r="AC173" s="50">
        <f t="shared" si="45"/>
        <v>1.15752</v>
      </c>
    </row>
    <row r="174" spans="1:29" ht="12.75">
      <c r="A174" s="1">
        <v>169</v>
      </c>
      <c r="B174" s="10" t="s">
        <v>493</v>
      </c>
      <c r="C174" s="200">
        <f>VLOOKUP(MID(B174,1,8)-0,'palkat 1.12.2018'!$B$9:$G$223,3,FALSE)</f>
        <v>2526.89</v>
      </c>
      <c r="D174" s="200">
        <f>VLOOKUP(MID(B174,1,8)-0,'palkat 1.12.2018'!$B$9:$G$223,5,FALSE)</f>
        <v>2502.95</v>
      </c>
      <c r="E174" s="11">
        <f>IF('muut muuttujat'!$G$3=1,C174,KÄYTTÖTAULU!$B$13)</f>
        <v>2526.89</v>
      </c>
      <c r="F174" s="11">
        <f>IF('muut muuttujat'!$G$3=1,D174,KÄYTTÖTAULU!$B$13)</f>
        <v>2502.95</v>
      </c>
      <c r="G174" s="11">
        <f>KÄYTTÖTAULU!$F$6</f>
        <v>0</v>
      </c>
      <c r="H174" s="11">
        <f>KÄYTTÖTAULU!$F$6</f>
        <v>0</v>
      </c>
      <c r="I174" s="11">
        <f>G174*0.83</f>
        <v>0</v>
      </c>
      <c r="J174" s="11">
        <f>H174*0.83</f>
        <v>0</v>
      </c>
      <c r="K174" s="1" t="e">
        <f>ROUND(I174/KÄYTTÖTAULU!$I$8,2)</f>
        <v>#DIV/0!</v>
      </c>
      <c r="L174" s="1" t="e">
        <f>ROUND(J174/KÄYTTÖTAULU!$I$8,2)</f>
        <v>#DIV/0!</v>
      </c>
      <c r="M174" s="1" t="e">
        <f>ROUND(K174*(12/38),2)</f>
        <v>#DIV/0!</v>
      </c>
      <c r="N174" s="1" t="e">
        <f>ROUND(L174*(12/38),2)</f>
        <v>#DIV/0!</v>
      </c>
      <c r="O174" s="11"/>
      <c r="P174" s="11"/>
      <c r="Q174" s="217"/>
      <c r="R174" s="24">
        <v>0</v>
      </c>
      <c r="S174" s="25">
        <v>2</v>
      </c>
      <c r="T174" s="25">
        <v>2</v>
      </c>
      <c r="U174" s="25">
        <v>9</v>
      </c>
      <c r="V174" s="25">
        <v>6</v>
      </c>
      <c r="W174" s="50">
        <v>6</v>
      </c>
      <c r="X174" s="25">
        <v>1</v>
      </c>
      <c r="Y174" s="25">
        <f t="shared" si="44"/>
        <v>1.02</v>
      </c>
      <c r="Z174" s="25">
        <f t="shared" si="45"/>
        <v>1.0404</v>
      </c>
      <c r="AA174" s="25">
        <f t="shared" si="45"/>
        <v>1.134036</v>
      </c>
      <c r="AB174" s="25">
        <f t="shared" si="45"/>
        <v>1.2020781600000001</v>
      </c>
      <c r="AC174" s="50">
        <f t="shared" si="45"/>
        <v>1.2742028496000002</v>
      </c>
    </row>
    <row r="175" spans="1:29" ht="12.75">
      <c r="A175" s="1">
        <v>170</v>
      </c>
      <c r="B175" s="10" t="s">
        <v>494</v>
      </c>
      <c r="C175" s="200">
        <f>VLOOKUP(MID(B175,1,8)-0,'palkat 1.12.2018'!$B$9:$G$223,3,FALSE)</f>
        <v>2292.06</v>
      </c>
      <c r="D175" s="200">
        <f>VLOOKUP(MID(B175,1,8)-0,'palkat 1.12.2018'!$B$9:$G$223,5,FALSE)</f>
        <v>2270.31</v>
      </c>
      <c r="E175" s="11">
        <f>IF('muut muuttujat'!$G$3=1,C175,KÄYTTÖTAULU!$B$13)</f>
        <v>2292.06</v>
      </c>
      <c r="F175" s="11">
        <f>IF('muut muuttujat'!$G$3=1,D175,KÄYTTÖTAULU!$B$13)</f>
        <v>2270.31</v>
      </c>
      <c r="G175" s="11">
        <f>KÄYTTÖTAULU!$F$6</f>
        <v>0</v>
      </c>
      <c r="H175" s="11">
        <f>KÄYTTÖTAULU!$F$6</f>
        <v>0</v>
      </c>
      <c r="I175" s="11">
        <f>G175*0.83</f>
        <v>0</v>
      </c>
      <c r="J175" s="11">
        <f>H175*0.83</f>
        <v>0</v>
      </c>
      <c r="K175" s="1" t="e">
        <f>ROUND(I175/KÄYTTÖTAULU!$I$8,2)</f>
        <v>#DIV/0!</v>
      </c>
      <c r="L175" s="1" t="e">
        <f>ROUND(J175/KÄYTTÖTAULU!$I$8,2)</f>
        <v>#DIV/0!</v>
      </c>
      <c r="M175" s="1" t="e">
        <f>ROUND(K175*(12/38),2)</f>
        <v>#DIV/0!</v>
      </c>
      <c r="N175" s="1" t="e">
        <f>ROUND(L175*(12/38),2)</f>
        <v>#DIV/0!</v>
      </c>
      <c r="O175" s="11"/>
      <c r="P175" s="11"/>
      <c r="Q175" s="217"/>
      <c r="R175" s="24">
        <v>0</v>
      </c>
      <c r="S175" s="25">
        <v>2</v>
      </c>
      <c r="T175" s="25">
        <v>2</v>
      </c>
      <c r="U175" s="25">
        <v>9</v>
      </c>
      <c r="V175" s="25">
        <v>6</v>
      </c>
      <c r="W175" s="50">
        <v>6</v>
      </c>
      <c r="X175" s="25">
        <v>1</v>
      </c>
      <c r="Y175" s="25">
        <f t="shared" si="44"/>
        <v>1.02</v>
      </c>
      <c r="Z175" s="25">
        <f t="shared" si="45"/>
        <v>1.0404</v>
      </c>
      <c r="AA175" s="25">
        <f t="shared" si="45"/>
        <v>1.134036</v>
      </c>
      <c r="AB175" s="25">
        <f t="shared" si="45"/>
        <v>1.2020781600000001</v>
      </c>
      <c r="AC175" s="50">
        <f t="shared" si="45"/>
        <v>1.2742028496000002</v>
      </c>
    </row>
    <row r="176" spans="1:29" ht="12.75">
      <c r="A176" s="1">
        <v>171</v>
      </c>
      <c r="B176" s="10" t="s">
        <v>495</v>
      </c>
      <c r="C176" s="200">
        <f>VLOOKUP(MID(B176,1,8)-0,'palkat 1.12.2018'!$B$9:$G$223,3,FALSE)</f>
        <v>3234.96</v>
      </c>
      <c r="D176" s="200">
        <f>VLOOKUP(MID(B176,1,8)-0,'palkat 1.12.2018'!$B$9:$G$223,5,FALSE)</f>
        <v>3204.28</v>
      </c>
      <c r="E176" s="11">
        <f>IF('muut muuttujat'!$G$3=1,C176,KÄYTTÖTAULU!$B$13)</f>
        <v>3234.96</v>
      </c>
      <c r="F176" s="11">
        <f>IF('muut muuttujat'!$G$3=1,D176,KÄYTTÖTAULU!$B$13)</f>
        <v>3204.28</v>
      </c>
      <c r="G176" s="11">
        <f>KÄYTTÖTAULU!$F$6</f>
        <v>0</v>
      </c>
      <c r="H176" s="11">
        <f>KÄYTTÖTAULU!$F$6</f>
        <v>0</v>
      </c>
      <c r="I176" s="11"/>
      <c r="J176" s="11"/>
      <c r="O176" s="11"/>
      <c r="P176" s="11"/>
      <c r="Q176" s="217"/>
      <c r="R176" s="24">
        <v>0</v>
      </c>
      <c r="S176" s="25">
        <v>2</v>
      </c>
      <c r="T176" s="25">
        <v>2</v>
      </c>
      <c r="U176" s="25">
        <v>5</v>
      </c>
      <c r="V176" s="25">
        <v>0</v>
      </c>
      <c r="W176" s="50">
        <v>0</v>
      </c>
      <c r="X176" s="25">
        <v>1</v>
      </c>
      <c r="Y176" s="25">
        <f t="shared" si="44"/>
        <v>1.02</v>
      </c>
      <c r="Z176" s="25">
        <f t="shared" si="45"/>
        <v>1.0404</v>
      </c>
      <c r="AA176" s="25">
        <f t="shared" si="45"/>
        <v>1.09242</v>
      </c>
      <c r="AB176" s="25">
        <f t="shared" si="45"/>
        <v>1.09242</v>
      </c>
      <c r="AC176" s="50">
        <f t="shared" si="45"/>
        <v>1.09242</v>
      </c>
    </row>
    <row r="177" spans="1:29" ht="12.75">
      <c r="A177" s="1">
        <v>172</v>
      </c>
      <c r="B177" s="10" t="s">
        <v>496</v>
      </c>
      <c r="C177" s="200">
        <f>VLOOKUP(MID(B177,1,8)-0,'palkat 1.12.2018'!$B$9:$G$223,3,FALSE)</f>
        <v>3153.96</v>
      </c>
      <c r="D177" s="200">
        <f>VLOOKUP(MID(B177,1,8)-0,'palkat 1.12.2018'!$B$9:$G$223,5,FALSE)</f>
        <v>3124.03</v>
      </c>
      <c r="E177" s="11">
        <f>IF('muut muuttujat'!$G$3=1,C177,KÄYTTÖTAULU!$B$13)</f>
        <v>3153.96</v>
      </c>
      <c r="F177" s="11">
        <f>IF('muut muuttujat'!$G$3=1,D177,KÄYTTÖTAULU!$B$13)</f>
        <v>3124.03</v>
      </c>
      <c r="G177" s="11">
        <f>KÄYTTÖTAULU!$F$6</f>
        <v>0</v>
      </c>
      <c r="H177" s="11">
        <f>KÄYTTÖTAULU!$F$6</f>
        <v>0</v>
      </c>
      <c r="I177" s="11"/>
      <c r="J177" s="11"/>
      <c r="O177" s="11"/>
      <c r="P177" s="11"/>
      <c r="Q177" s="217"/>
      <c r="R177" s="24">
        <v>0</v>
      </c>
      <c r="S177" s="25">
        <v>2</v>
      </c>
      <c r="T177" s="25">
        <v>2</v>
      </c>
      <c r="U177" s="25">
        <v>5</v>
      </c>
      <c r="V177" s="25">
        <v>0</v>
      </c>
      <c r="W177" s="50">
        <v>0</v>
      </c>
      <c r="X177" s="25">
        <v>1</v>
      </c>
      <c r="Y177" s="25">
        <f t="shared" si="44"/>
        <v>1.02</v>
      </c>
      <c r="Z177" s="25">
        <f t="shared" si="45"/>
        <v>1.0404</v>
      </c>
      <c r="AA177" s="25">
        <f t="shared" si="45"/>
        <v>1.09242</v>
      </c>
      <c r="AB177" s="25">
        <f t="shared" si="45"/>
        <v>1.09242</v>
      </c>
      <c r="AC177" s="50">
        <f t="shared" si="45"/>
        <v>1.09242</v>
      </c>
    </row>
    <row r="178" spans="1:29" ht="12.75">
      <c r="A178" s="1">
        <v>173</v>
      </c>
      <c r="B178" s="10" t="s">
        <v>497</v>
      </c>
      <c r="C178" s="200">
        <f>VLOOKUP(MID(B178,1,8)-0,'palkat 1.12.2018'!$B$9:$G$223,3,FALSE)</f>
        <v>2707.9</v>
      </c>
      <c r="D178" s="200">
        <f>VLOOKUP(MID(B178,1,8)-0,'palkat 1.12.2018'!$B$9:$G$223,5,FALSE)</f>
        <v>2682.21</v>
      </c>
      <c r="E178" s="11">
        <f>IF('muut muuttujat'!$G$3=1,C178,KÄYTTÖTAULU!$B$13)</f>
        <v>2707.9</v>
      </c>
      <c r="F178" s="11">
        <f>IF('muut muuttujat'!$G$3=1,D178,KÄYTTÖTAULU!$B$13)</f>
        <v>2682.21</v>
      </c>
      <c r="G178" s="11">
        <f>KÄYTTÖTAULU!$F$6</f>
        <v>0</v>
      </c>
      <c r="H178" s="11">
        <f>KÄYTTÖTAULU!$F$6</f>
        <v>0</v>
      </c>
      <c r="I178" s="11"/>
      <c r="J178" s="11"/>
      <c r="O178" s="11"/>
      <c r="P178" s="11"/>
      <c r="Q178" s="3"/>
      <c r="R178" s="24">
        <v>0</v>
      </c>
      <c r="S178" s="25">
        <v>2</v>
      </c>
      <c r="T178" s="25">
        <v>2</v>
      </c>
      <c r="U178" s="25">
        <v>5</v>
      </c>
      <c r="V178" s="25">
        <v>0</v>
      </c>
      <c r="W178" s="50">
        <v>0</v>
      </c>
      <c r="X178" s="25">
        <v>1</v>
      </c>
      <c r="Y178" s="25">
        <f t="shared" si="44"/>
        <v>1.02</v>
      </c>
      <c r="Z178" s="25">
        <f t="shared" si="45"/>
        <v>1.0404</v>
      </c>
      <c r="AA178" s="25">
        <f t="shared" si="45"/>
        <v>1.09242</v>
      </c>
      <c r="AB178" s="25">
        <f t="shared" si="45"/>
        <v>1.09242</v>
      </c>
      <c r="AC178" s="50">
        <f t="shared" si="45"/>
        <v>1.09242</v>
      </c>
    </row>
    <row r="179" spans="1:33" ht="13.5" thickBot="1">
      <c r="A179" s="1">
        <v>174</v>
      </c>
      <c r="B179" s="10" t="s">
        <v>498</v>
      </c>
      <c r="C179" s="200">
        <f>VLOOKUP(MID(B179,1,8)-0,'palkat 1.12.2018'!$B$9:$G$223,3,FALSE)</f>
        <v>24.92</v>
      </c>
      <c r="D179" s="200">
        <f>VLOOKUP(MID(B179,1,8)-0,'palkat 1.12.2018'!$B$9:$G$223,5,FALSE)</f>
        <v>0</v>
      </c>
      <c r="G179" s="1"/>
      <c r="H179" s="1"/>
      <c r="I179" s="1"/>
      <c r="J179" s="1"/>
      <c r="Q179" s="247">
        <f>ROUND(ROUND('palkat 1.12.2018'!D223*IF('muut muuttujat'!$A$11=1,1.06,1),2)*(1+KÄYTTÖTAULU!$M$20/100),2)</f>
        <v>26.42</v>
      </c>
      <c r="R179" s="51"/>
      <c r="S179" s="66"/>
      <c r="T179" s="66"/>
      <c r="U179" s="66"/>
      <c r="V179" s="66"/>
      <c r="W179" s="52"/>
      <c r="X179" s="66"/>
      <c r="Y179" s="66"/>
      <c r="Z179" s="66"/>
      <c r="AA179" s="66"/>
      <c r="AB179" s="66"/>
      <c r="AC179" s="52"/>
      <c r="AF179" s="11"/>
      <c r="AG179" s="11"/>
    </row>
    <row r="180" spans="31:33" ht="12.75">
      <c r="AE180" s="248"/>
      <c r="AF180" s="11"/>
      <c r="AG180" s="11"/>
    </row>
    <row r="181" spans="31:33" ht="12.75">
      <c r="AE181" s="248"/>
      <c r="AF181" s="11"/>
      <c r="AG181" s="11"/>
    </row>
    <row r="182" spans="31:33" ht="12.75">
      <c r="AE182" s="248"/>
      <c r="AF182" s="11"/>
      <c r="AG182" s="11"/>
    </row>
    <row r="183" spans="31:33" ht="12.75">
      <c r="AE183" s="248"/>
      <c r="AF183" s="11"/>
      <c r="AG183" s="11"/>
    </row>
    <row r="184" spans="31:33" ht="12.75">
      <c r="AE184" s="248"/>
      <c r="AF184" s="11"/>
      <c r="AG184" s="11"/>
    </row>
    <row r="196" ht="12.75">
      <c r="B196" s="15"/>
    </row>
    <row r="197" ht="12.75">
      <c r="B197" s="3"/>
    </row>
    <row r="199" ht="12.75">
      <c r="B199" s="16"/>
    </row>
    <row r="201" ht="12.75">
      <c r="B201" s="15"/>
    </row>
    <row r="207" spans="3:14" ht="12.75">
      <c r="C207" s="132"/>
      <c r="D207" s="25"/>
      <c r="E207" s="25"/>
      <c r="F207" s="134"/>
      <c r="G207" s="25"/>
      <c r="H207" s="136"/>
      <c r="I207" s="136"/>
      <c r="J207" s="1"/>
      <c r="K207" s="131"/>
      <c r="L207" s="131"/>
      <c r="M207" s="131"/>
      <c r="N207" s="131"/>
    </row>
    <row r="208" spans="2:14" ht="12.75">
      <c r="B208" s="12"/>
      <c r="C208" s="25"/>
      <c r="D208" s="132"/>
      <c r="E208" s="130"/>
      <c r="F208" s="25"/>
      <c r="G208" s="25"/>
      <c r="H208" s="25"/>
      <c r="I208" s="25"/>
      <c r="J208" s="1"/>
      <c r="K208" s="131"/>
      <c r="L208" s="131"/>
      <c r="M208" s="131"/>
      <c r="N208" s="131"/>
    </row>
    <row r="209" ht="12.75">
      <c r="B209" s="18"/>
    </row>
    <row r="211" ht="12.75">
      <c r="B211" s="16"/>
    </row>
    <row r="218" spans="3:10" ht="12.75">
      <c r="C218" s="25"/>
      <c r="D218" s="25"/>
      <c r="E218" s="25"/>
      <c r="F218" s="25"/>
      <c r="G218" s="25"/>
      <c r="H218" s="25"/>
      <c r="I218" s="25"/>
      <c r="J218" s="1"/>
    </row>
    <row r="219" ht="12.75">
      <c r="C219" s="14"/>
    </row>
    <row r="220" ht="12.75">
      <c r="C220" s="14"/>
    </row>
    <row r="221" ht="12.75">
      <c r="C221" s="14"/>
    </row>
    <row r="222" ht="12.75">
      <c r="C222" s="14"/>
    </row>
    <row r="223" ht="12.75">
      <c r="C223" s="14"/>
    </row>
    <row r="224" spans="3:7" ht="12.75">
      <c r="C224" s="14"/>
      <c r="G224" s="1"/>
    </row>
    <row r="225" ht="12.75">
      <c r="C225" s="14"/>
    </row>
    <row r="226" spans="3:7" ht="12.75">
      <c r="C226" s="19"/>
      <c r="D226" s="6"/>
      <c r="E226" s="6"/>
      <c r="G226" s="1"/>
    </row>
    <row r="227" spans="2:3" ht="12.75">
      <c r="B227" s="3"/>
      <c r="C227" s="14"/>
    </row>
    <row r="229" ht="12.75">
      <c r="C229" s="21"/>
    </row>
    <row r="231" spans="2:3" ht="12.75">
      <c r="B231" s="3"/>
      <c r="C231" s="14"/>
    </row>
    <row r="233" ht="12.75">
      <c r="C233" s="21"/>
    </row>
    <row r="234" ht="12.75">
      <c r="C234" s="21"/>
    </row>
    <row r="235" ht="12.75">
      <c r="C235" s="21"/>
    </row>
    <row r="237" spans="2:3" ht="12.75">
      <c r="B237" s="3"/>
      <c r="C237" s="14"/>
    </row>
    <row r="239" ht="12.75">
      <c r="C239" s="21"/>
    </row>
    <row r="240" ht="12.75">
      <c r="C240" s="21"/>
    </row>
    <row r="241" ht="12.75">
      <c r="C241" s="21"/>
    </row>
    <row r="243" spans="2:7" ht="12.75">
      <c r="B243" s="3"/>
      <c r="C243" s="14"/>
      <c r="D243" s="6"/>
      <c r="E243" s="6"/>
      <c r="G243" s="1"/>
    </row>
    <row r="244" spans="3:7" ht="12.75">
      <c r="C244" s="14"/>
      <c r="D244" s="6"/>
      <c r="E244" s="6"/>
      <c r="G244" s="1"/>
    </row>
    <row r="245" spans="3:7" ht="12.75">
      <c r="C245" s="21"/>
      <c r="D245" s="1"/>
      <c r="G245" s="1"/>
    </row>
    <row r="246" spans="3:7" ht="12.75">
      <c r="C246" s="21"/>
      <c r="D246" s="6"/>
      <c r="E246" s="6"/>
      <c r="G246" s="1"/>
    </row>
    <row r="247" spans="3:7" ht="12.75">
      <c r="C247" s="21"/>
      <c r="G247" s="1"/>
    </row>
    <row r="248" spans="3:7" ht="12.75">
      <c r="C248" s="21"/>
      <c r="D248" s="6"/>
      <c r="E248" s="6"/>
      <c r="G248" s="1"/>
    </row>
    <row r="249" spans="3:7" ht="12.75">
      <c r="C249" s="21"/>
      <c r="D249" s="6"/>
      <c r="E249" s="6"/>
      <c r="G249" s="1"/>
    </row>
    <row r="250" spans="2:7" ht="12.75">
      <c r="B250" s="3"/>
      <c r="C250" s="14"/>
      <c r="G250" s="1"/>
    </row>
    <row r="251" spans="3:7" ht="12.75">
      <c r="C251" s="13"/>
      <c r="G251" s="1"/>
    </row>
    <row r="252" spans="3:7" ht="12.75">
      <c r="C252" s="2"/>
      <c r="G252" s="1"/>
    </row>
    <row r="253" ht="12.75">
      <c r="G253" s="1"/>
    </row>
    <row r="254" spans="2:7" ht="12.75">
      <c r="B254" s="3"/>
      <c r="C254" s="14"/>
      <c r="D254" s="6"/>
      <c r="E254" s="6"/>
      <c r="F254" s="13"/>
      <c r="G254" s="1"/>
    </row>
    <row r="255" spans="3:7" ht="12.75">
      <c r="C255" s="19"/>
      <c r="D255" s="6"/>
      <c r="E255" s="19"/>
      <c r="F255" s="13"/>
      <c r="G255" s="1"/>
    </row>
    <row r="256" spans="3:7" ht="12.75">
      <c r="C256" s="21"/>
      <c r="D256" s="20"/>
      <c r="E256" s="2"/>
      <c r="F256" s="13"/>
      <c r="G256" s="1"/>
    </row>
    <row r="257" spans="3:7" ht="12.75">
      <c r="C257" s="21"/>
      <c r="D257" s="17"/>
      <c r="E257" s="2"/>
      <c r="G257" s="1"/>
    </row>
    <row r="258" spans="3:7" ht="12.75">
      <c r="C258" s="22"/>
      <c r="D258" s="13"/>
      <c r="E258" s="13"/>
      <c r="G258" s="1"/>
    </row>
    <row r="259" spans="2:7" ht="12.75">
      <c r="B259" s="13"/>
      <c r="C259" s="21"/>
      <c r="D259" s="13"/>
      <c r="E259" s="13"/>
      <c r="G259" s="1"/>
    </row>
    <row r="260" spans="2:7" ht="12.75">
      <c r="B260" s="13"/>
      <c r="C260" s="21"/>
      <c r="D260" s="13"/>
      <c r="E260" s="13"/>
      <c r="G260" s="1"/>
    </row>
    <row r="261" spans="3:7" ht="12.75">
      <c r="C261" s="21"/>
      <c r="D261" s="13"/>
      <c r="E261" s="13"/>
      <c r="G261" s="1"/>
    </row>
    <row r="262" spans="2:7" ht="12.75">
      <c r="B262" s="13"/>
      <c r="C262" s="21"/>
      <c r="D262" s="6"/>
      <c r="E262" s="19"/>
      <c r="G262" s="1"/>
    </row>
    <row r="263" spans="2:7" ht="12.75">
      <c r="B263" s="13"/>
      <c r="C263" s="2"/>
      <c r="D263" s="6"/>
      <c r="E263" s="19"/>
      <c r="G263" s="1"/>
    </row>
    <row r="264" spans="2:7" ht="12.75">
      <c r="B264" s="3"/>
      <c r="C264" s="14"/>
      <c r="G264" s="1"/>
    </row>
    <row r="265" ht="12.75">
      <c r="C265" s="19"/>
    </row>
    <row r="266" spans="3:7" ht="12.75">
      <c r="C266" s="2"/>
      <c r="D266" s="6"/>
      <c r="E266" s="6"/>
      <c r="G266" s="1"/>
    </row>
    <row r="267" spans="3:7" ht="12.75">
      <c r="C267" s="2"/>
      <c r="D267" s="13"/>
      <c r="E267" s="13"/>
      <c r="G267" s="1"/>
    </row>
    <row r="268" spans="3:7" ht="12.75">
      <c r="C268" s="6"/>
      <c r="D268" s="1"/>
      <c r="G268" s="1"/>
    </row>
    <row r="269" ht="12.75">
      <c r="G269" s="1"/>
    </row>
    <row r="270" spans="2:7" ht="12.75">
      <c r="B270" s="3"/>
      <c r="C270" s="14"/>
      <c r="D270" s="6"/>
      <c r="E270" s="6"/>
      <c r="F270" s="13"/>
      <c r="G270" s="1"/>
    </row>
    <row r="271" spans="2:7" ht="12.75">
      <c r="B271" s="13"/>
      <c r="C271" s="13"/>
      <c r="D271" s="6"/>
      <c r="E271" s="6"/>
      <c r="F271" s="13"/>
      <c r="G271" s="1"/>
    </row>
    <row r="272" spans="3:7" ht="12.75">
      <c r="C272" s="2"/>
      <c r="D272" s="13"/>
      <c r="E272" s="13"/>
      <c r="F272" s="13"/>
      <c r="G272" s="1"/>
    </row>
    <row r="273" spans="3:7" ht="12.75">
      <c r="C273" s="6"/>
      <c r="D273" s="13"/>
      <c r="E273" s="13"/>
      <c r="F273" s="13"/>
      <c r="G273" s="1"/>
    </row>
    <row r="274" spans="2:6" ht="12.75">
      <c r="B274" s="13"/>
      <c r="C274" s="6"/>
      <c r="D274" s="13"/>
      <c r="E274" s="13"/>
      <c r="F274" s="13"/>
    </row>
    <row r="275" spans="4:6" ht="12.75">
      <c r="D275" s="13"/>
      <c r="E275" s="13"/>
      <c r="F275" s="13"/>
    </row>
    <row r="276" spans="4:6" ht="12.75">
      <c r="D276" s="13"/>
      <c r="E276" s="13"/>
      <c r="F276" s="13"/>
    </row>
    <row r="277" spans="4:6" ht="12.75">
      <c r="D277" s="13"/>
      <c r="E277" s="13"/>
      <c r="F277" s="13"/>
    </row>
  </sheetData>
  <sheetProtection/>
  <printOptions/>
  <pageMargins left="0.1968503937007874" right="0.1968503937007874" top="0.5511811023622047" bottom="0.35433070866141736" header="0.5118110236220472" footer="0.5118110236220472"/>
  <pageSetup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78"/>
  <sheetViews>
    <sheetView zoomScale="90" zoomScaleNormal="90" zoomScalePageLayoutView="0" workbookViewId="0" topLeftCell="A190">
      <selection activeCell="G3" sqref="G3"/>
    </sheetView>
  </sheetViews>
  <sheetFormatPr defaultColWidth="9.140625" defaultRowHeight="12.75"/>
  <cols>
    <col min="1" max="1" width="9.140625" style="272" customWidth="1"/>
    <col min="2" max="2" width="10.7109375" style="1" customWidth="1"/>
    <col min="3" max="3" width="78.7109375" style="267" customWidth="1"/>
    <col min="4" max="6" width="10.28125" style="270" customWidth="1"/>
    <col min="7" max="10" width="10.28125" style="271" customWidth="1"/>
    <col min="11" max="15" width="10.28125" style="272" customWidth="1"/>
    <col min="16" max="16384" width="9.140625" style="272" customWidth="1"/>
  </cols>
  <sheetData>
    <row r="1" spans="1:16" ht="15" customHeight="1">
      <c r="A1" s="266" t="s">
        <v>547</v>
      </c>
      <c r="B1" s="25"/>
      <c r="D1" s="388" t="s">
        <v>548</v>
      </c>
      <c r="E1" s="388"/>
      <c r="F1" s="388"/>
      <c r="G1" s="389">
        <v>1</v>
      </c>
      <c r="H1" s="390" t="s">
        <v>549</v>
      </c>
      <c r="I1" s="270"/>
      <c r="P1" s="273"/>
    </row>
    <row r="2" spans="2:14" ht="39" customHeight="1">
      <c r="B2" s="25"/>
      <c r="D2" s="388"/>
      <c r="E2" s="388"/>
      <c r="F2" s="388"/>
      <c r="G2" s="389"/>
      <c r="H2" s="390"/>
      <c r="N2" s="273"/>
    </row>
    <row r="3" spans="2:14" ht="29.25" customHeight="1">
      <c r="B3" s="25"/>
      <c r="D3" s="388" t="s">
        <v>550</v>
      </c>
      <c r="E3" s="388"/>
      <c r="F3" s="388"/>
      <c r="G3" s="274">
        <v>0.3</v>
      </c>
      <c r="H3" s="269" t="s">
        <v>549</v>
      </c>
      <c r="N3" s="273"/>
    </row>
    <row r="4" spans="1:14" ht="29.25" customHeight="1">
      <c r="A4" s="197" t="s">
        <v>246</v>
      </c>
      <c r="B4" s="25"/>
      <c r="D4" s="268"/>
      <c r="E4" s="268"/>
      <c r="F4" s="268"/>
      <c r="G4" s="275"/>
      <c r="H4" s="276"/>
      <c r="N4" s="273"/>
    </row>
    <row r="5" spans="1:11" ht="15" customHeight="1">
      <c r="A5" s="272" t="s">
        <v>248</v>
      </c>
      <c r="B5" s="25"/>
      <c r="C5" s="277"/>
      <c r="E5" s="278"/>
      <c r="F5" s="278"/>
      <c r="J5" s="279"/>
      <c r="K5" s="279"/>
    </row>
    <row r="6" spans="1:15" ht="15" customHeight="1">
      <c r="A6" s="272" t="s">
        <v>695</v>
      </c>
      <c r="B6" s="132" t="s">
        <v>247</v>
      </c>
      <c r="C6" s="280"/>
      <c r="D6" s="281"/>
      <c r="E6" s="282"/>
      <c r="F6" s="278"/>
      <c r="I6" s="281"/>
      <c r="J6" s="281"/>
      <c r="K6" s="281"/>
      <c r="L6" s="283"/>
      <c r="M6" s="283"/>
      <c r="N6" s="283"/>
      <c r="O6" s="283"/>
    </row>
    <row r="7" spans="2:15" ht="15" customHeight="1">
      <c r="B7" s="129" t="s">
        <v>249</v>
      </c>
      <c r="C7" s="284"/>
      <c r="D7" s="17" t="s">
        <v>228</v>
      </c>
      <c r="E7" s="285" t="s">
        <v>229</v>
      </c>
      <c r="F7" s="17" t="s">
        <v>228</v>
      </c>
      <c r="G7" s="285" t="s">
        <v>229</v>
      </c>
      <c r="H7" s="285"/>
      <c r="I7" s="286"/>
      <c r="L7" s="283"/>
      <c r="M7" s="283"/>
      <c r="N7" s="283"/>
      <c r="O7" s="283"/>
    </row>
    <row r="8" spans="2:15" ht="15" customHeight="1">
      <c r="B8" s="132" t="s">
        <v>4</v>
      </c>
      <c r="D8" s="287" t="s">
        <v>2</v>
      </c>
      <c r="E8" s="287" t="s">
        <v>2</v>
      </c>
      <c r="F8" s="287" t="s">
        <v>3</v>
      </c>
      <c r="G8" s="287" t="s">
        <v>3</v>
      </c>
      <c r="H8" s="279"/>
      <c r="I8" s="279"/>
      <c r="L8" s="283"/>
      <c r="M8" s="283"/>
      <c r="N8" s="283"/>
      <c r="O8" s="283"/>
    </row>
    <row r="9" spans="1:15" ht="15" customHeight="1">
      <c r="A9" s="272" t="s">
        <v>250</v>
      </c>
      <c r="B9" s="134">
        <v>40301101</v>
      </c>
      <c r="C9" s="289" t="s">
        <v>551</v>
      </c>
      <c r="D9" s="281">
        <v>3742.79</v>
      </c>
      <c r="E9" s="281">
        <v>4019.61</v>
      </c>
      <c r="F9" s="281">
        <v>3706.98</v>
      </c>
      <c r="G9" s="281">
        <v>3981.12</v>
      </c>
      <c r="H9" s="290"/>
      <c r="I9" s="281"/>
      <c r="J9" s="281"/>
      <c r="K9" s="281"/>
      <c r="L9" s="283"/>
      <c r="M9" s="283"/>
      <c r="N9" s="283"/>
      <c r="O9" s="283"/>
    </row>
    <row r="10" spans="1:15" ht="15" customHeight="1">
      <c r="A10" s="272" t="s">
        <v>250</v>
      </c>
      <c r="B10" s="134">
        <v>40301201</v>
      </c>
      <c r="C10" s="289" t="s">
        <v>552</v>
      </c>
      <c r="D10" s="281">
        <v>3866.22</v>
      </c>
      <c r="E10" s="281">
        <v>4181.51</v>
      </c>
      <c r="F10" s="281">
        <v>3829.23</v>
      </c>
      <c r="G10" s="281">
        <v>4141.49</v>
      </c>
      <c r="H10" s="290"/>
      <c r="I10" s="281"/>
      <c r="J10" s="281"/>
      <c r="K10" s="281"/>
      <c r="L10" s="283"/>
      <c r="M10" s="283"/>
      <c r="N10" s="283"/>
      <c r="O10" s="283"/>
    </row>
    <row r="11" spans="1:15" ht="15" customHeight="1">
      <c r="A11" s="272" t="s">
        <v>250</v>
      </c>
      <c r="B11" s="134">
        <v>40301301</v>
      </c>
      <c r="C11" s="289" t="s">
        <v>553</v>
      </c>
      <c r="D11" s="281">
        <v>4019.61</v>
      </c>
      <c r="E11" s="281">
        <v>4363.32</v>
      </c>
      <c r="F11" s="281">
        <v>3981.12</v>
      </c>
      <c r="G11" s="281">
        <v>4321.61</v>
      </c>
      <c r="H11" s="290"/>
      <c r="I11" s="281"/>
      <c r="J11" s="281"/>
      <c r="K11" s="281"/>
      <c r="L11" s="283"/>
      <c r="M11" s="283"/>
      <c r="N11" s="283"/>
      <c r="O11" s="283"/>
    </row>
    <row r="12" spans="1:15" ht="15" customHeight="1">
      <c r="A12" s="272" t="s">
        <v>250</v>
      </c>
      <c r="B12" s="134">
        <v>40301401</v>
      </c>
      <c r="C12" s="289" t="s">
        <v>554</v>
      </c>
      <c r="D12" s="281">
        <v>4190.45</v>
      </c>
      <c r="E12" s="281"/>
      <c r="F12" s="281">
        <v>4150.33</v>
      </c>
      <c r="G12" s="281"/>
      <c r="H12" s="290"/>
      <c r="I12" s="281"/>
      <c r="J12" s="281"/>
      <c r="K12" s="281"/>
      <c r="L12" s="283"/>
      <c r="M12" s="283"/>
      <c r="N12" s="283"/>
      <c r="O12" s="283"/>
    </row>
    <row r="13" spans="1:15" ht="15" customHeight="1">
      <c r="A13" s="272" t="s">
        <v>250</v>
      </c>
      <c r="B13" s="134">
        <v>40301102</v>
      </c>
      <c r="C13" s="289" t="s">
        <v>555</v>
      </c>
      <c r="D13" s="281">
        <v>3866.22</v>
      </c>
      <c r="E13" s="291">
        <v>4181.51</v>
      </c>
      <c r="F13" s="281">
        <v>3829.23</v>
      </c>
      <c r="G13" s="291">
        <v>4141.49</v>
      </c>
      <c r="H13" s="290"/>
      <c r="I13" s="281"/>
      <c r="J13" s="281"/>
      <c r="K13" s="281"/>
      <c r="L13" s="283"/>
      <c r="M13" s="283"/>
      <c r="N13" s="283"/>
      <c r="O13" s="283"/>
    </row>
    <row r="14" spans="1:15" ht="15" customHeight="1">
      <c r="A14" s="272" t="s">
        <v>250</v>
      </c>
      <c r="B14" s="134">
        <v>40301202</v>
      </c>
      <c r="C14" s="289" t="s">
        <v>556</v>
      </c>
      <c r="D14" s="281">
        <v>4181.51</v>
      </c>
      <c r="E14" s="281">
        <v>4548.93</v>
      </c>
      <c r="F14" s="281">
        <v>4141.49</v>
      </c>
      <c r="G14" s="281">
        <v>4505.39</v>
      </c>
      <c r="H14" s="290"/>
      <c r="I14" s="281"/>
      <c r="J14" s="281"/>
      <c r="K14" s="281"/>
      <c r="L14" s="283"/>
      <c r="M14" s="283"/>
      <c r="N14" s="283"/>
      <c r="O14" s="283"/>
    </row>
    <row r="15" spans="1:15" ht="15" customHeight="1">
      <c r="A15" s="272" t="s">
        <v>250</v>
      </c>
      <c r="B15" s="134">
        <v>40301302</v>
      </c>
      <c r="C15" s="289" t="s">
        <v>557</v>
      </c>
      <c r="D15" s="281">
        <v>4363.32</v>
      </c>
      <c r="E15" s="281">
        <v>4737.9</v>
      </c>
      <c r="F15" s="281">
        <v>4321.61</v>
      </c>
      <c r="G15" s="281">
        <v>4692.58</v>
      </c>
      <c r="H15" s="290"/>
      <c r="I15" s="281"/>
      <c r="J15" s="281"/>
      <c r="K15" s="281"/>
      <c r="L15" s="283"/>
      <c r="M15" s="283"/>
      <c r="N15" s="283"/>
      <c r="O15" s="283"/>
    </row>
    <row r="16" spans="1:15" ht="15" customHeight="1">
      <c r="A16" s="272" t="s">
        <v>250</v>
      </c>
      <c r="B16" s="134">
        <v>40301402</v>
      </c>
      <c r="C16" s="289" t="s">
        <v>558</v>
      </c>
      <c r="D16" s="281">
        <v>4548.93</v>
      </c>
      <c r="E16" s="281"/>
      <c r="F16" s="281">
        <v>4505.39</v>
      </c>
      <c r="G16" s="281"/>
      <c r="H16" s="290"/>
      <c r="I16" s="281"/>
      <c r="J16" s="281"/>
      <c r="K16" s="281"/>
      <c r="L16" s="283"/>
      <c r="M16" s="283"/>
      <c r="N16" s="283"/>
      <c r="O16" s="283"/>
    </row>
    <row r="17" spans="1:15" ht="15" customHeight="1">
      <c r="A17" s="272" t="s">
        <v>250</v>
      </c>
      <c r="B17" s="134">
        <v>40301502</v>
      </c>
      <c r="C17" s="289" t="s">
        <v>559</v>
      </c>
      <c r="D17" s="281">
        <v>4742.27</v>
      </c>
      <c r="E17" s="291"/>
      <c r="F17" s="281">
        <v>4696.88</v>
      </c>
      <c r="G17" s="292"/>
      <c r="H17" s="290"/>
      <c r="I17" s="281"/>
      <c r="J17" s="281"/>
      <c r="K17" s="281"/>
      <c r="L17" s="283"/>
      <c r="M17" s="283"/>
      <c r="N17" s="283"/>
      <c r="O17" s="283"/>
    </row>
    <row r="18" spans="1:15" ht="15" customHeight="1">
      <c r="A18" s="272" t="s">
        <v>250</v>
      </c>
      <c r="B18" s="134">
        <v>40301103</v>
      </c>
      <c r="C18" s="293" t="s">
        <v>560</v>
      </c>
      <c r="D18" s="281">
        <v>3866.22</v>
      </c>
      <c r="E18" s="291">
        <v>4181.51</v>
      </c>
      <c r="F18" s="281">
        <v>3829.23</v>
      </c>
      <c r="G18" s="281">
        <v>4141.49</v>
      </c>
      <c r="H18" s="290"/>
      <c r="I18" s="281"/>
      <c r="J18" s="281"/>
      <c r="K18" s="281"/>
      <c r="L18" s="283"/>
      <c r="M18" s="283"/>
      <c r="N18" s="283"/>
      <c r="O18" s="283"/>
    </row>
    <row r="19" spans="1:15" ht="15" customHeight="1">
      <c r="A19" s="272" t="s">
        <v>250</v>
      </c>
      <c r="B19" s="134">
        <v>40301203</v>
      </c>
      <c r="C19" s="293" t="s">
        <v>561</v>
      </c>
      <c r="D19" s="281">
        <v>4019.61</v>
      </c>
      <c r="E19" s="281">
        <v>4363.32</v>
      </c>
      <c r="F19" s="281">
        <v>3981.12</v>
      </c>
      <c r="G19" s="281">
        <v>4321.61</v>
      </c>
      <c r="H19" s="290"/>
      <c r="I19" s="281"/>
      <c r="J19" s="281"/>
      <c r="K19" s="281"/>
      <c r="L19" s="283"/>
      <c r="M19" s="283"/>
      <c r="N19" s="283"/>
      <c r="O19" s="283"/>
    </row>
    <row r="20" spans="1:15" ht="15" customHeight="1">
      <c r="A20" s="272" t="s">
        <v>250</v>
      </c>
      <c r="B20" s="134">
        <v>40301303</v>
      </c>
      <c r="C20" s="293" t="s">
        <v>562</v>
      </c>
      <c r="D20" s="281">
        <v>4363.32</v>
      </c>
      <c r="E20" s="281">
        <v>4737.9</v>
      </c>
      <c r="F20" s="281">
        <v>4321.61</v>
      </c>
      <c r="G20" s="281">
        <v>4692.58</v>
      </c>
      <c r="H20" s="290"/>
      <c r="I20" s="281"/>
      <c r="J20" s="281"/>
      <c r="K20" s="281"/>
      <c r="L20" s="283"/>
      <c r="M20" s="283"/>
      <c r="N20" s="283"/>
      <c r="O20" s="283"/>
    </row>
    <row r="21" spans="1:15" ht="15" customHeight="1">
      <c r="A21" s="272" t="s">
        <v>250</v>
      </c>
      <c r="B21" s="134">
        <v>40301403</v>
      </c>
      <c r="C21" s="293" t="s">
        <v>563</v>
      </c>
      <c r="D21" s="281">
        <v>4548.93</v>
      </c>
      <c r="E21" s="281">
        <v>4956.55</v>
      </c>
      <c r="F21" s="281">
        <v>4505.39</v>
      </c>
      <c r="G21" s="281">
        <v>4909.12</v>
      </c>
      <c r="H21" s="290"/>
      <c r="I21" s="281"/>
      <c r="J21" s="281"/>
      <c r="K21" s="281"/>
      <c r="L21" s="283"/>
      <c r="M21" s="283"/>
      <c r="N21" s="283"/>
      <c r="O21" s="283"/>
    </row>
    <row r="22" spans="1:15" ht="15" customHeight="1">
      <c r="A22" s="272" t="s">
        <v>250</v>
      </c>
      <c r="B22" s="134">
        <v>40302000</v>
      </c>
      <c r="C22" s="293" t="s">
        <v>308</v>
      </c>
      <c r="D22" s="294"/>
      <c r="E22" s="294"/>
      <c r="F22" s="294"/>
      <c r="G22" s="295"/>
      <c r="H22" s="296"/>
      <c r="I22" s="281"/>
      <c r="J22" s="281"/>
      <c r="K22" s="281"/>
      <c r="L22" s="283"/>
      <c r="M22" s="283"/>
      <c r="N22" s="283"/>
      <c r="O22" s="283"/>
    </row>
    <row r="23" spans="1:15" ht="15" customHeight="1">
      <c r="A23" s="272" t="s">
        <v>250</v>
      </c>
      <c r="B23" s="134">
        <v>40402000</v>
      </c>
      <c r="C23" s="293" t="s">
        <v>309</v>
      </c>
      <c r="D23" s="294"/>
      <c r="E23" s="294"/>
      <c r="F23" s="294"/>
      <c r="G23" s="295"/>
      <c r="H23" s="296"/>
      <c r="I23" s="281"/>
      <c r="J23" s="281"/>
      <c r="K23" s="281"/>
      <c r="L23" s="283"/>
      <c r="M23" s="283"/>
      <c r="N23" s="283"/>
      <c r="O23" s="283"/>
    </row>
    <row r="24" spans="1:15" ht="15" customHeight="1">
      <c r="A24" s="272" t="s">
        <v>250</v>
      </c>
      <c r="B24" s="134">
        <v>40401005</v>
      </c>
      <c r="C24" s="293" t="s">
        <v>310</v>
      </c>
      <c r="D24" s="281">
        <v>4422.82</v>
      </c>
      <c r="E24" s="281">
        <v>5516.2</v>
      </c>
      <c r="F24" s="281">
        <v>4380.49</v>
      </c>
      <c r="G24" s="281">
        <v>5463.41</v>
      </c>
      <c r="H24" s="290"/>
      <c r="I24" s="281"/>
      <c r="J24" s="281"/>
      <c r="K24" s="281"/>
      <c r="L24" s="283"/>
      <c r="M24" s="283"/>
      <c r="N24" s="283"/>
      <c r="O24" s="283"/>
    </row>
    <row r="25" spans="1:15" ht="15" customHeight="1">
      <c r="A25" s="272" t="s">
        <v>250</v>
      </c>
      <c r="B25" s="134">
        <v>40401011</v>
      </c>
      <c r="C25" s="293" t="s">
        <v>311</v>
      </c>
      <c r="D25" s="281">
        <v>4422.82</v>
      </c>
      <c r="E25" s="281">
        <v>5516.2</v>
      </c>
      <c r="F25" s="281">
        <v>4380.49</v>
      </c>
      <c r="G25" s="281">
        <v>5463.41</v>
      </c>
      <c r="H25" s="290"/>
      <c r="I25" s="281"/>
      <c r="J25" s="281"/>
      <c r="K25" s="281"/>
      <c r="L25" s="283"/>
      <c r="M25" s="283"/>
      <c r="N25" s="283"/>
      <c r="O25" s="283"/>
    </row>
    <row r="26" spans="1:15" ht="15" customHeight="1">
      <c r="A26" s="272" t="s">
        <v>250</v>
      </c>
      <c r="B26" s="134">
        <v>40304066</v>
      </c>
      <c r="C26" s="293" t="s">
        <v>312</v>
      </c>
      <c r="D26" s="281">
        <v>3018.17</v>
      </c>
      <c r="E26" s="297"/>
      <c r="F26" s="281">
        <v>2989.43</v>
      </c>
      <c r="G26" s="297"/>
      <c r="H26" s="290"/>
      <c r="I26" s="281"/>
      <c r="J26" s="281"/>
      <c r="K26" s="281"/>
      <c r="L26" s="283"/>
      <c r="M26" s="283"/>
      <c r="N26" s="283"/>
      <c r="O26" s="283"/>
    </row>
    <row r="27" spans="1:15" ht="15" customHeight="1">
      <c r="A27" s="272" t="s">
        <v>250</v>
      </c>
      <c r="B27" s="134">
        <v>40304067</v>
      </c>
      <c r="C27" s="293" t="s">
        <v>564</v>
      </c>
      <c r="D27" s="297"/>
      <c r="E27" s="297"/>
      <c r="F27" s="297"/>
      <c r="G27" s="297"/>
      <c r="H27" s="296"/>
      <c r="I27" s="290"/>
      <c r="J27" s="281"/>
      <c r="K27" s="281"/>
      <c r="L27" s="283"/>
      <c r="M27" s="283"/>
      <c r="N27" s="283"/>
      <c r="O27" s="283"/>
    </row>
    <row r="28" spans="1:15" ht="15" customHeight="1">
      <c r="A28" s="272" t="s">
        <v>250</v>
      </c>
      <c r="B28" s="134">
        <v>40404066</v>
      </c>
      <c r="C28" s="298" t="s">
        <v>516</v>
      </c>
      <c r="D28" s="281">
        <v>3819.32</v>
      </c>
      <c r="E28" s="297"/>
      <c r="F28" s="281">
        <v>3787.56</v>
      </c>
      <c r="G28" s="292"/>
      <c r="H28" s="296"/>
      <c r="I28" s="290"/>
      <c r="J28" s="281"/>
      <c r="K28" s="281"/>
      <c r="L28" s="283"/>
      <c r="M28" s="283"/>
      <c r="N28" s="283"/>
      <c r="O28" s="283"/>
    </row>
    <row r="29" spans="1:15" ht="15" customHeight="1">
      <c r="A29" s="272" t="s">
        <v>250</v>
      </c>
      <c r="B29" s="134">
        <v>40404067</v>
      </c>
      <c r="C29" s="299" t="s">
        <v>517</v>
      </c>
      <c r="D29" s="297"/>
      <c r="E29" s="297"/>
      <c r="F29" s="297"/>
      <c r="G29" s="300"/>
      <c r="H29" s="296"/>
      <c r="I29" s="290"/>
      <c r="J29" s="281"/>
      <c r="K29" s="281"/>
      <c r="L29" s="283"/>
      <c r="M29" s="283"/>
      <c r="N29" s="283"/>
      <c r="O29" s="283"/>
    </row>
    <row r="30" spans="1:15" ht="15" customHeight="1">
      <c r="A30" s="272" t="s">
        <v>251</v>
      </c>
      <c r="B30" s="134">
        <v>40304005</v>
      </c>
      <c r="C30" s="313" t="s">
        <v>565</v>
      </c>
      <c r="D30" s="281">
        <v>2872.98</v>
      </c>
      <c r="E30" s="297"/>
      <c r="F30" s="281">
        <v>2845.8</v>
      </c>
      <c r="G30" s="296"/>
      <c r="H30" s="296"/>
      <c r="I30" s="281"/>
      <c r="J30" s="281"/>
      <c r="K30" s="281"/>
      <c r="L30" s="283"/>
      <c r="M30" s="283"/>
      <c r="N30" s="283"/>
      <c r="O30" s="283"/>
    </row>
    <row r="31" spans="1:15" ht="15" customHeight="1">
      <c r="A31" s="272" t="s">
        <v>251</v>
      </c>
      <c r="B31" s="134">
        <v>40304007</v>
      </c>
      <c r="C31" s="313" t="s">
        <v>566</v>
      </c>
      <c r="D31" s="281">
        <v>2678.39</v>
      </c>
      <c r="E31" s="297"/>
      <c r="F31" s="281">
        <v>2653.08</v>
      </c>
      <c r="G31" s="296"/>
      <c r="H31" s="296"/>
      <c r="I31" s="281"/>
      <c r="J31" s="281"/>
      <c r="K31" s="281"/>
      <c r="L31" s="283"/>
      <c r="M31" s="283"/>
      <c r="N31" s="283"/>
      <c r="O31" s="283"/>
    </row>
    <row r="32" spans="1:15" ht="15" customHeight="1">
      <c r="A32" s="272" t="s">
        <v>251</v>
      </c>
      <c r="B32" s="134">
        <v>40304008</v>
      </c>
      <c r="C32" s="313" t="s">
        <v>567</v>
      </c>
      <c r="D32" s="281">
        <v>2347.7</v>
      </c>
      <c r="E32" s="297"/>
      <c r="F32" s="281">
        <v>2325.5</v>
      </c>
      <c r="G32" s="296"/>
      <c r="H32" s="296"/>
      <c r="I32" s="281"/>
      <c r="J32" s="281"/>
      <c r="K32" s="281"/>
      <c r="L32" s="283"/>
      <c r="M32" s="283"/>
      <c r="N32" s="283"/>
      <c r="O32" s="283"/>
    </row>
    <row r="33" spans="1:15" ht="15" customHeight="1">
      <c r="A33" s="272" t="s">
        <v>251</v>
      </c>
      <c r="B33" s="134">
        <v>40304009</v>
      </c>
      <c r="C33" s="313" t="s">
        <v>568</v>
      </c>
      <c r="D33" s="281">
        <v>2247.2</v>
      </c>
      <c r="E33" s="297"/>
      <c r="F33" s="281">
        <v>2225.95</v>
      </c>
      <c r="G33" s="296"/>
      <c r="H33" s="296"/>
      <c r="I33" s="281"/>
      <c r="J33" s="281"/>
      <c r="K33" s="281"/>
      <c r="L33" s="283"/>
      <c r="M33" s="283"/>
      <c r="N33" s="283"/>
      <c r="O33" s="283"/>
    </row>
    <row r="34" spans="1:15" ht="15" customHeight="1">
      <c r="A34" s="272" t="s">
        <v>251</v>
      </c>
      <c r="B34" s="134">
        <v>40304010</v>
      </c>
      <c r="C34" s="313" t="s">
        <v>569</v>
      </c>
      <c r="D34" s="281">
        <v>2123.97</v>
      </c>
      <c r="E34" s="297"/>
      <c r="F34" s="281">
        <v>2103.89</v>
      </c>
      <c r="G34" s="296"/>
      <c r="H34" s="296"/>
      <c r="I34" s="281"/>
      <c r="J34" s="281"/>
      <c r="K34" s="281"/>
      <c r="L34" s="283"/>
      <c r="M34" s="283"/>
      <c r="N34" s="283"/>
      <c r="O34" s="283"/>
    </row>
    <row r="35" spans="1:15" ht="15" customHeight="1">
      <c r="A35" s="272" t="s">
        <v>251</v>
      </c>
      <c r="B35" s="134">
        <v>40304012</v>
      </c>
      <c r="C35" s="313" t="s">
        <v>570</v>
      </c>
      <c r="D35" s="281">
        <v>2892.92</v>
      </c>
      <c r="E35" s="297"/>
      <c r="F35" s="281">
        <v>2865.56</v>
      </c>
      <c r="G35" s="296"/>
      <c r="H35" s="296"/>
      <c r="I35" s="281"/>
      <c r="J35" s="281"/>
      <c r="K35" s="281"/>
      <c r="L35" s="283"/>
      <c r="M35" s="283"/>
      <c r="N35" s="283"/>
      <c r="O35" s="283"/>
    </row>
    <row r="36" spans="1:15" ht="15" customHeight="1">
      <c r="A36" s="272" t="s">
        <v>251</v>
      </c>
      <c r="B36" s="134">
        <v>40304014</v>
      </c>
      <c r="C36" s="313" t="s">
        <v>571</v>
      </c>
      <c r="D36" s="281">
        <v>2791.76</v>
      </c>
      <c r="E36" s="297"/>
      <c r="F36" s="281">
        <v>2765.35</v>
      </c>
      <c r="G36" s="296"/>
      <c r="H36" s="296"/>
      <c r="I36" s="281"/>
      <c r="J36" s="281"/>
      <c r="K36" s="281"/>
      <c r="L36" s="283"/>
      <c r="M36" s="283"/>
      <c r="N36" s="283"/>
      <c r="O36" s="283"/>
    </row>
    <row r="37" spans="1:15" ht="15" customHeight="1">
      <c r="A37" s="272" t="s">
        <v>251</v>
      </c>
      <c r="B37" s="134">
        <v>40304013</v>
      </c>
      <c r="C37" s="313" t="s">
        <v>572</v>
      </c>
      <c r="D37" s="281">
        <v>2702.28</v>
      </c>
      <c r="E37" s="297"/>
      <c r="F37" s="281">
        <v>2676.69</v>
      </c>
      <c r="G37" s="296"/>
      <c r="H37" s="296"/>
      <c r="I37" s="281"/>
      <c r="J37" s="281"/>
      <c r="K37" s="281"/>
      <c r="L37" s="283"/>
      <c r="M37" s="283"/>
      <c r="N37" s="283"/>
      <c r="O37" s="283"/>
    </row>
    <row r="38" spans="1:15" ht="15" customHeight="1">
      <c r="A38" s="272" t="s">
        <v>251</v>
      </c>
      <c r="B38" s="134">
        <v>40304015</v>
      </c>
      <c r="C38" s="313" t="s">
        <v>573</v>
      </c>
      <c r="D38" s="281">
        <v>2660.14</v>
      </c>
      <c r="E38" s="297"/>
      <c r="F38" s="281">
        <v>2635</v>
      </c>
      <c r="G38" s="296"/>
      <c r="H38" s="296"/>
      <c r="I38" s="281"/>
      <c r="J38" s="281"/>
      <c r="K38" s="281"/>
      <c r="L38" s="283"/>
      <c r="M38" s="283"/>
      <c r="N38" s="283"/>
      <c r="O38" s="283"/>
    </row>
    <row r="39" spans="1:15" ht="15" customHeight="1">
      <c r="A39" s="272" t="s">
        <v>251</v>
      </c>
      <c r="B39" s="134">
        <v>40304016</v>
      </c>
      <c r="C39" s="313" t="s">
        <v>574</v>
      </c>
      <c r="D39" s="281">
        <v>2549.5</v>
      </c>
      <c r="E39" s="297"/>
      <c r="F39" s="281">
        <v>2525.44</v>
      </c>
      <c r="G39" s="296"/>
      <c r="H39" s="296"/>
      <c r="I39" s="281"/>
      <c r="J39" s="281"/>
      <c r="K39" s="281"/>
      <c r="L39" s="283"/>
      <c r="M39" s="283"/>
      <c r="N39" s="283"/>
      <c r="O39" s="283"/>
    </row>
    <row r="40" spans="1:15" ht="15" customHeight="1">
      <c r="A40" s="272" t="s">
        <v>251</v>
      </c>
      <c r="B40" s="134">
        <v>40304017</v>
      </c>
      <c r="C40" s="313" t="s">
        <v>575</v>
      </c>
      <c r="D40" s="281">
        <v>2228.36</v>
      </c>
      <c r="E40" s="297"/>
      <c r="F40" s="281">
        <v>2207.28</v>
      </c>
      <c r="G40" s="296"/>
      <c r="H40" s="296"/>
      <c r="I40" s="281"/>
      <c r="J40" s="281"/>
      <c r="K40" s="281"/>
      <c r="L40" s="283"/>
      <c r="M40" s="283"/>
      <c r="N40" s="283"/>
      <c r="O40" s="283"/>
    </row>
    <row r="41" spans="1:15" ht="15" customHeight="1">
      <c r="A41" s="272" t="s">
        <v>251</v>
      </c>
      <c r="B41" s="134">
        <v>40304028</v>
      </c>
      <c r="C41" s="313" t="s">
        <v>576</v>
      </c>
      <c r="D41" s="281">
        <v>2872.98</v>
      </c>
      <c r="E41" s="297"/>
      <c r="F41" s="281">
        <v>2845.8</v>
      </c>
      <c r="G41" s="296"/>
      <c r="H41" s="296"/>
      <c r="I41" s="281"/>
      <c r="J41" s="281"/>
      <c r="K41" s="281"/>
      <c r="L41" s="283"/>
      <c r="M41" s="283"/>
      <c r="N41" s="283"/>
      <c r="O41" s="283"/>
    </row>
    <row r="42" spans="1:15" ht="15" customHeight="1">
      <c r="A42" s="272" t="s">
        <v>251</v>
      </c>
      <c r="B42" s="134">
        <v>40304030</v>
      </c>
      <c r="C42" s="313" t="s">
        <v>577</v>
      </c>
      <c r="D42" s="281">
        <v>2660.14</v>
      </c>
      <c r="E42" s="297"/>
      <c r="F42" s="281">
        <v>2635</v>
      </c>
      <c r="G42" s="296"/>
      <c r="H42" s="296"/>
      <c r="I42" s="281"/>
      <c r="J42" s="281"/>
      <c r="K42" s="281"/>
      <c r="L42" s="283"/>
      <c r="M42" s="283"/>
      <c r="N42" s="283"/>
      <c r="O42" s="283"/>
    </row>
    <row r="43" spans="1:15" ht="15" customHeight="1">
      <c r="A43" s="272" t="s">
        <v>251</v>
      </c>
      <c r="B43" s="134">
        <v>40304031</v>
      </c>
      <c r="C43" s="313" t="s">
        <v>578</v>
      </c>
      <c r="D43" s="281">
        <v>2574.27</v>
      </c>
      <c r="E43" s="297"/>
      <c r="F43" s="281">
        <v>2549.92</v>
      </c>
      <c r="G43" s="296"/>
      <c r="H43" s="296"/>
      <c r="I43" s="281"/>
      <c r="J43" s="281"/>
      <c r="K43" s="281"/>
      <c r="L43" s="283"/>
      <c r="M43" s="283"/>
      <c r="N43" s="283"/>
      <c r="O43" s="283"/>
    </row>
    <row r="44" spans="1:15" ht="15" customHeight="1">
      <c r="A44" s="272" t="s">
        <v>251</v>
      </c>
      <c r="B44" s="134">
        <v>40304098</v>
      </c>
      <c r="C44" s="313" t="s">
        <v>579</v>
      </c>
      <c r="D44" s="281">
        <v>2100.2</v>
      </c>
      <c r="E44" s="297"/>
      <c r="F44" s="281">
        <v>2080.51</v>
      </c>
      <c r="G44" s="296"/>
      <c r="H44" s="296"/>
      <c r="I44" s="281"/>
      <c r="J44" s="281"/>
      <c r="K44" s="281"/>
      <c r="L44" s="283"/>
      <c r="M44" s="283"/>
      <c r="N44" s="283"/>
      <c r="O44" s="283"/>
    </row>
    <row r="45" spans="1:15" ht="15" customHeight="1">
      <c r="A45" s="272" t="s">
        <v>251</v>
      </c>
      <c r="B45" s="134">
        <v>40304033</v>
      </c>
      <c r="C45" s="313" t="s">
        <v>580</v>
      </c>
      <c r="D45" s="281">
        <v>2002.93</v>
      </c>
      <c r="E45" s="297"/>
      <c r="F45" s="281">
        <v>1984.92</v>
      </c>
      <c r="G45" s="296"/>
      <c r="H45" s="296"/>
      <c r="I45" s="281"/>
      <c r="J45" s="281"/>
      <c r="K45" s="281"/>
      <c r="L45" s="283"/>
      <c r="M45" s="283"/>
      <c r="N45" s="283"/>
      <c r="O45" s="283"/>
    </row>
    <row r="46" spans="1:15" ht="15" customHeight="1">
      <c r="A46" s="272" t="s">
        <v>251</v>
      </c>
      <c r="B46" s="134">
        <v>40304020</v>
      </c>
      <c r="C46" s="313" t="s">
        <v>581</v>
      </c>
      <c r="D46" s="281">
        <v>2307.83</v>
      </c>
      <c r="E46" s="297"/>
      <c r="F46" s="281">
        <v>2286</v>
      </c>
      <c r="G46" s="296"/>
      <c r="H46" s="296"/>
      <c r="I46" s="281"/>
      <c r="J46" s="281"/>
      <c r="K46" s="281"/>
      <c r="L46" s="283"/>
      <c r="M46" s="283"/>
      <c r="N46" s="283"/>
      <c r="O46" s="283"/>
    </row>
    <row r="47" spans="1:15" ht="15" customHeight="1">
      <c r="A47" s="272" t="s">
        <v>251</v>
      </c>
      <c r="B47" s="134">
        <v>40304024</v>
      </c>
      <c r="C47" s="313" t="s">
        <v>582</v>
      </c>
      <c r="D47" s="281">
        <v>2307.83</v>
      </c>
      <c r="E47" s="297"/>
      <c r="F47" s="281">
        <v>2286</v>
      </c>
      <c r="G47" s="296"/>
      <c r="H47" s="296"/>
      <c r="I47" s="281"/>
      <c r="J47" s="281"/>
      <c r="K47" s="281"/>
      <c r="L47" s="283"/>
      <c r="M47" s="283"/>
      <c r="N47" s="283"/>
      <c r="O47" s="283"/>
    </row>
    <row r="48" spans="1:15" ht="15" customHeight="1">
      <c r="A48" s="272" t="s">
        <v>251</v>
      </c>
      <c r="B48" s="134">
        <v>40304021</v>
      </c>
      <c r="C48" s="313" t="s">
        <v>583</v>
      </c>
      <c r="D48" s="281">
        <v>2259.82</v>
      </c>
      <c r="E48" s="297"/>
      <c r="F48" s="281">
        <v>2238.41</v>
      </c>
      <c r="G48" s="296"/>
      <c r="H48" s="296"/>
      <c r="I48" s="281"/>
      <c r="J48" s="281"/>
      <c r="K48" s="281"/>
      <c r="L48" s="283"/>
      <c r="M48" s="283"/>
      <c r="N48" s="283"/>
      <c r="O48" s="283"/>
    </row>
    <row r="49" spans="1:15" ht="15" customHeight="1">
      <c r="A49" s="272" t="s">
        <v>251</v>
      </c>
      <c r="B49" s="134">
        <v>40304022</v>
      </c>
      <c r="C49" s="313" t="s">
        <v>252</v>
      </c>
      <c r="D49" s="281">
        <v>1942.38</v>
      </c>
      <c r="E49" s="297"/>
      <c r="F49" s="281">
        <v>1926.1</v>
      </c>
      <c r="G49" s="296"/>
      <c r="H49" s="296"/>
      <c r="I49" s="281"/>
      <c r="J49" s="281"/>
      <c r="K49" s="281"/>
      <c r="L49" s="283"/>
      <c r="M49" s="283"/>
      <c r="N49" s="283"/>
      <c r="O49" s="283"/>
    </row>
    <row r="50" spans="1:15" ht="15" customHeight="1">
      <c r="A50" s="272" t="s">
        <v>251</v>
      </c>
      <c r="B50" s="134">
        <v>40307038</v>
      </c>
      <c r="C50" s="313" t="s">
        <v>584</v>
      </c>
      <c r="D50" s="281">
        <v>2872.98</v>
      </c>
      <c r="E50" s="297"/>
      <c r="F50" s="281">
        <v>2845.8</v>
      </c>
      <c r="G50" s="296"/>
      <c r="H50" s="296"/>
      <c r="I50" s="281"/>
      <c r="J50" s="281"/>
      <c r="K50" s="281"/>
      <c r="L50" s="283"/>
      <c r="M50" s="283"/>
      <c r="N50" s="283"/>
      <c r="O50" s="283"/>
    </row>
    <row r="51" spans="1:15" ht="15" customHeight="1">
      <c r="A51" s="272" t="s">
        <v>251</v>
      </c>
      <c r="B51" s="134">
        <v>40307040</v>
      </c>
      <c r="C51" s="313" t="s">
        <v>585</v>
      </c>
      <c r="D51" s="281">
        <v>2678.39</v>
      </c>
      <c r="E51" s="297"/>
      <c r="F51" s="281">
        <v>2653.08</v>
      </c>
      <c r="G51" s="296"/>
      <c r="H51" s="296"/>
      <c r="I51" s="281"/>
      <c r="J51" s="281"/>
      <c r="K51" s="281"/>
      <c r="L51" s="283"/>
      <c r="M51" s="283"/>
      <c r="N51" s="283"/>
      <c r="O51" s="283"/>
    </row>
    <row r="52" spans="1:15" ht="15" customHeight="1">
      <c r="A52" s="272" t="s">
        <v>251</v>
      </c>
      <c r="B52" s="134">
        <v>40307041</v>
      </c>
      <c r="C52" s="313" t="s">
        <v>586</v>
      </c>
      <c r="D52" s="281">
        <v>2347.7</v>
      </c>
      <c r="E52" s="297"/>
      <c r="F52" s="281">
        <v>2325.5</v>
      </c>
      <c r="G52" s="296"/>
      <c r="H52" s="296"/>
      <c r="I52" s="281"/>
      <c r="J52" s="281"/>
      <c r="K52" s="281"/>
      <c r="L52" s="283"/>
      <c r="M52" s="283"/>
      <c r="N52" s="283"/>
      <c r="O52" s="283"/>
    </row>
    <row r="53" spans="1:15" ht="15" customHeight="1">
      <c r="A53" s="272" t="s">
        <v>251</v>
      </c>
      <c r="B53" s="134">
        <v>40307042</v>
      </c>
      <c r="C53" s="313" t="s">
        <v>587</v>
      </c>
      <c r="D53" s="281">
        <v>2247.2</v>
      </c>
      <c r="E53" s="297"/>
      <c r="F53" s="281">
        <v>2225.95</v>
      </c>
      <c r="G53" s="296"/>
      <c r="H53" s="296"/>
      <c r="I53" s="281"/>
      <c r="J53" s="281"/>
      <c r="K53" s="281"/>
      <c r="L53" s="283"/>
      <c r="M53" s="283"/>
      <c r="N53" s="283"/>
      <c r="O53" s="283"/>
    </row>
    <row r="54" spans="1:15" ht="15" customHeight="1">
      <c r="A54" s="272" t="s">
        <v>251</v>
      </c>
      <c r="B54" s="134">
        <v>40307043</v>
      </c>
      <c r="C54" s="313" t="s">
        <v>588</v>
      </c>
      <c r="D54" s="281">
        <v>2123.97</v>
      </c>
      <c r="E54" s="297"/>
      <c r="F54" s="281">
        <v>2103.89</v>
      </c>
      <c r="G54" s="296"/>
      <c r="H54" s="296"/>
      <c r="I54" s="281"/>
      <c r="J54" s="281"/>
      <c r="K54" s="281"/>
      <c r="L54" s="283"/>
      <c r="M54" s="283"/>
      <c r="N54" s="283"/>
      <c r="O54" s="283"/>
    </row>
    <row r="55" spans="1:15" ht="15" customHeight="1">
      <c r="A55" s="272" t="s">
        <v>251</v>
      </c>
      <c r="B55" s="134">
        <v>40307044</v>
      </c>
      <c r="C55" s="313" t="s">
        <v>589</v>
      </c>
      <c r="D55" s="281">
        <v>2892.92</v>
      </c>
      <c r="E55" s="297"/>
      <c r="F55" s="281">
        <v>2865.56</v>
      </c>
      <c r="G55" s="296"/>
      <c r="H55" s="296"/>
      <c r="I55" s="281"/>
      <c r="J55" s="281"/>
      <c r="K55" s="281"/>
      <c r="L55" s="283"/>
      <c r="M55" s="283"/>
      <c r="N55" s="283"/>
      <c r="O55" s="283"/>
    </row>
    <row r="56" spans="1:15" ht="15" customHeight="1">
      <c r="A56" s="272" t="s">
        <v>251</v>
      </c>
      <c r="B56" s="134">
        <v>40307046</v>
      </c>
      <c r="C56" s="313" t="s">
        <v>590</v>
      </c>
      <c r="D56" s="281">
        <v>2791.76</v>
      </c>
      <c r="E56" s="297"/>
      <c r="F56" s="281">
        <v>2765.35</v>
      </c>
      <c r="G56" s="296"/>
      <c r="H56" s="296"/>
      <c r="I56" s="281"/>
      <c r="J56" s="281"/>
      <c r="K56" s="281"/>
      <c r="L56" s="283"/>
      <c r="M56" s="283"/>
      <c r="N56" s="283"/>
      <c r="O56" s="283"/>
    </row>
    <row r="57" spans="1:15" ht="15" customHeight="1">
      <c r="A57" s="272" t="s">
        <v>251</v>
      </c>
      <c r="B57" s="134">
        <v>40307045</v>
      </c>
      <c r="C57" s="313" t="s">
        <v>591</v>
      </c>
      <c r="D57" s="281">
        <v>2702.28</v>
      </c>
      <c r="E57" s="297"/>
      <c r="F57" s="281">
        <v>2676.69</v>
      </c>
      <c r="G57" s="296"/>
      <c r="H57" s="296"/>
      <c r="I57" s="281"/>
      <c r="J57" s="281"/>
      <c r="K57" s="281"/>
      <c r="L57" s="283"/>
      <c r="M57" s="283"/>
      <c r="N57" s="283"/>
      <c r="O57" s="283"/>
    </row>
    <row r="58" spans="1:15" ht="15" customHeight="1">
      <c r="A58" s="272" t="s">
        <v>251</v>
      </c>
      <c r="B58" s="134">
        <v>40307047</v>
      </c>
      <c r="C58" s="313" t="s">
        <v>592</v>
      </c>
      <c r="D58" s="281">
        <v>2660.14</v>
      </c>
      <c r="E58" s="297"/>
      <c r="F58" s="281">
        <v>2635</v>
      </c>
      <c r="G58" s="296"/>
      <c r="H58" s="296"/>
      <c r="I58" s="281"/>
      <c r="J58" s="281"/>
      <c r="K58" s="281"/>
      <c r="L58" s="283"/>
      <c r="M58" s="283"/>
      <c r="N58" s="283"/>
      <c r="O58" s="283"/>
    </row>
    <row r="59" spans="1:15" ht="15" customHeight="1">
      <c r="A59" s="272" t="s">
        <v>251</v>
      </c>
      <c r="B59" s="134">
        <v>40307048</v>
      </c>
      <c r="C59" s="313" t="s">
        <v>593</v>
      </c>
      <c r="D59" s="281">
        <v>2549.5</v>
      </c>
      <c r="E59" s="297"/>
      <c r="F59" s="281">
        <v>2525.44</v>
      </c>
      <c r="G59" s="296"/>
      <c r="H59" s="296"/>
      <c r="I59" s="281"/>
      <c r="J59" s="281"/>
      <c r="K59" s="281"/>
      <c r="L59" s="283"/>
      <c r="M59" s="283"/>
      <c r="N59" s="283"/>
      <c r="O59" s="283"/>
    </row>
    <row r="60" spans="1:15" ht="15" customHeight="1">
      <c r="A60" s="272" t="s">
        <v>251</v>
      </c>
      <c r="B60" s="134">
        <v>40307049</v>
      </c>
      <c r="C60" s="313" t="s">
        <v>594</v>
      </c>
      <c r="D60" s="281">
        <v>2228.36</v>
      </c>
      <c r="E60" s="297"/>
      <c r="F60" s="281">
        <v>2207.28</v>
      </c>
      <c r="G60" s="296"/>
      <c r="H60" s="296"/>
      <c r="I60" s="281"/>
      <c r="J60" s="281"/>
      <c r="K60" s="281"/>
      <c r="L60" s="283"/>
      <c r="M60" s="283"/>
      <c r="N60" s="283"/>
      <c r="O60" s="283"/>
    </row>
    <row r="61" spans="1:15" ht="15" customHeight="1">
      <c r="A61" s="272" t="s">
        <v>251</v>
      </c>
      <c r="B61" s="134">
        <v>40307054</v>
      </c>
      <c r="C61" s="313" t="s">
        <v>595</v>
      </c>
      <c r="D61" s="281">
        <v>2872.98</v>
      </c>
      <c r="E61" s="297"/>
      <c r="F61" s="281">
        <v>2845.8</v>
      </c>
      <c r="G61" s="296"/>
      <c r="H61" s="296"/>
      <c r="I61" s="281"/>
      <c r="J61" s="281"/>
      <c r="K61" s="281"/>
      <c r="L61" s="283"/>
      <c r="M61" s="283"/>
      <c r="N61" s="283"/>
      <c r="O61" s="283"/>
    </row>
    <row r="62" spans="1:15" ht="15" customHeight="1">
      <c r="A62" s="272" t="s">
        <v>251</v>
      </c>
      <c r="B62" s="134">
        <v>40307056</v>
      </c>
      <c r="C62" s="313" t="s">
        <v>596</v>
      </c>
      <c r="D62" s="281">
        <v>2660.14</v>
      </c>
      <c r="E62" s="297"/>
      <c r="F62" s="281">
        <v>2635</v>
      </c>
      <c r="G62" s="296"/>
      <c r="H62" s="296"/>
      <c r="I62" s="281"/>
      <c r="J62" s="281"/>
      <c r="K62" s="281"/>
      <c r="L62" s="283"/>
      <c r="M62" s="283"/>
      <c r="N62" s="283"/>
      <c r="O62" s="283"/>
    </row>
    <row r="63" spans="1:15" ht="15" customHeight="1">
      <c r="A63" s="272" t="s">
        <v>251</v>
      </c>
      <c r="B63" s="134">
        <v>40307057</v>
      </c>
      <c r="C63" s="313" t="s">
        <v>597</v>
      </c>
      <c r="D63" s="281">
        <v>2574.27</v>
      </c>
      <c r="E63" s="297"/>
      <c r="F63" s="281">
        <v>2549.92</v>
      </c>
      <c r="G63" s="296"/>
      <c r="H63" s="296"/>
      <c r="I63" s="281"/>
      <c r="J63" s="281"/>
      <c r="K63" s="281"/>
      <c r="L63" s="283"/>
      <c r="M63" s="283"/>
      <c r="N63" s="283"/>
      <c r="O63" s="283"/>
    </row>
    <row r="64" spans="1:15" ht="15" customHeight="1">
      <c r="A64" s="272" t="s">
        <v>251</v>
      </c>
      <c r="B64" s="134">
        <v>40307099</v>
      </c>
      <c r="C64" s="313" t="s">
        <v>598</v>
      </c>
      <c r="D64" s="281">
        <v>2100.2</v>
      </c>
      <c r="E64" s="297"/>
      <c r="F64" s="281">
        <v>2080.51</v>
      </c>
      <c r="G64" s="296"/>
      <c r="H64" s="296"/>
      <c r="I64" s="281"/>
      <c r="J64" s="281"/>
      <c r="K64" s="281"/>
      <c r="L64" s="283"/>
      <c r="M64" s="283"/>
      <c r="N64" s="283"/>
      <c r="O64" s="283"/>
    </row>
    <row r="65" spans="1:15" ht="15" customHeight="1">
      <c r="A65" s="272" t="s">
        <v>251</v>
      </c>
      <c r="B65" s="134">
        <v>40307059</v>
      </c>
      <c r="C65" s="313" t="s">
        <v>599</v>
      </c>
      <c r="D65" s="281">
        <v>2002.93</v>
      </c>
      <c r="E65" s="297"/>
      <c r="F65" s="281">
        <v>1984.92</v>
      </c>
      <c r="G65" s="296"/>
      <c r="H65" s="296"/>
      <c r="I65" s="281"/>
      <c r="J65" s="281"/>
      <c r="K65" s="281"/>
      <c r="L65" s="283"/>
      <c r="M65" s="283"/>
      <c r="N65" s="283"/>
      <c r="O65" s="283"/>
    </row>
    <row r="66" spans="1:15" ht="15" customHeight="1">
      <c r="A66" s="272" t="s">
        <v>251</v>
      </c>
      <c r="B66" s="134">
        <v>40307062</v>
      </c>
      <c r="C66" s="313" t="s">
        <v>600</v>
      </c>
      <c r="D66" s="281">
        <v>2307.83</v>
      </c>
      <c r="E66" s="297"/>
      <c r="F66" s="281">
        <v>2286</v>
      </c>
      <c r="G66" s="296"/>
      <c r="H66" s="296"/>
      <c r="I66" s="281"/>
      <c r="J66" s="281"/>
      <c r="K66" s="281"/>
      <c r="L66" s="283"/>
      <c r="M66" s="283"/>
      <c r="N66" s="283"/>
      <c r="O66" s="283"/>
    </row>
    <row r="67" spans="1:15" ht="15" customHeight="1">
      <c r="A67" s="272" t="s">
        <v>251</v>
      </c>
      <c r="B67" s="134">
        <v>40307065</v>
      </c>
      <c r="C67" s="313" t="s">
        <v>601</v>
      </c>
      <c r="D67" s="281">
        <v>2307.83</v>
      </c>
      <c r="E67" s="297"/>
      <c r="F67" s="281">
        <v>2286</v>
      </c>
      <c r="G67" s="296"/>
      <c r="H67" s="296"/>
      <c r="I67" s="281"/>
      <c r="J67" s="281"/>
      <c r="K67" s="281"/>
      <c r="L67" s="283"/>
      <c r="M67" s="283"/>
      <c r="N67" s="283"/>
      <c r="O67" s="283"/>
    </row>
    <row r="68" spans="1:15" ht="15" customHeight="1">
      <c r="A68" s="272" t="s">
        <v>251</v>
      </c>
      <c r="B68" s="134">
        <v>40307063</v>
      </c>
      <c r="C68" s="313" t="s">
        <v>602</v>
      </c>
      <c r="D68" s="281">
        <v>2259.82</v>
      </c>
      <c r="E68" s="297"/>
      <c r="F68" s="281">
        <v>2238.41</v>
      </c>
      <c r="G68" s="296"/>
      <c r="H68" s="296"/>
      <c r="I68" s="281"/>
      <c r="J68" s="281"/>
      <c r="K68" s="281"/>
      <c r="L68" s="283"/>
      <c r="M68" s="283"/>
      <c r="N68" s="283"/>
      <c r="O68" s="283"/>
    </row>
    <row r="69" spans="1:15" ht="15" customHeight="1">
      <c r="A69" s="272" t="s">
        <v>251</v>
      </c>
      <c r="B69" s="134">
        <v>40307064</v>
      </c>
      <c r="C69" s="313" t="s">
        <v>253</v>
      </c>
      <c r="D69" s="281">
        <v>1942.38</v>
      </c>
      <c r="E69" s="297"/>
      <c r="F69" s="281">
        <v>1926.1</v>
      </c>
      <c r="I69" s="281"/>
      <c r="J69" s="281"/>
      <c r="K69" s="281"/>
      <c r="L69" s="283"/>
      <c r="M69" s="283"/>
      <c r="N69" s="283"/>
      <c r="O69" s="283"/>
    </row>
    <row r="70" spans="1:15" ht="15" customHeight="1">
      <c r="A70" s="272" t="s">
        <v>254</v>
      </c>
      <c r="B70" s="134">
        <v>40404017</v>
      </c>
      <c r="C70" s="313" t="s">
        <v>603</v>
      </c>
      <c r="D70" s="281">
        <v>3046.51</v>
      </c>
      <c r="E70" s="317"/>
      <c r="F70" s="281">
        <v>3017.74</v>
      </c>
      <c r="I70" s="281"/>
      <c r="J70" s="281"/>
      <c r="K70" s="281"/>
      <c r="L70" s="283"/>
      <c r="M70" s="283"/>
      <c r="N70" s="283"/>
      <c r="O70" s="283"/>
    </row>
    <row r="71" spans="1:15" ht="15" customHeight="1">
      <c r="A71" s="272" t="s">
        <v>254</v>
      </c>
      <c r="B71" s="134">
        <v>40404018</v>
      </c>
      <c r="C71" s="313" t="s">
        <v>604</v>
      </c>
      <c r="D71" s="281">
        <v>2907.51</v>
      </c>
      <c r="E71" s="317"/>
      <c r="F71" s="281">
        <v>2879.97</v>
      </c>
      <c r="I71" s="281"/>
      <c r="J71" s="281"/>
      <c r="K71" s="281"/>
      <c r="L71" s="283"/>
      <c r="M71" s="283"/>
      <c r="N71" s="283"/>
      <c r="O71" s="283"/>
    </row>
    <row r="72" spans="1:15" ht="15" customHeight="1">
      <c r="A72" s="272" t="s">
        <v>254</v>
      </c>
      <c r="B72" s="134">
        <v>40404022</v>
      </c>
      <c r="C72" s="313" t="s">
        <v>568</v>
      </c>
      <c r="D72" s="281">
        <v>2453.8</v>
      </c>
      <c r="E72" s="317"/>
      <c r="F72" s="281">
        <v>2430.62</v>
      </c>
      <c r="I72" s="281"/>
      <c r="J72" s="281"/>
      <c r="K72" s="281"/>
      <c r="L72" s="283"/>
      <c r="M72" s="283"/>
      <c r="N72" s="283"/>
      <c r="O72" s="283"/>
    </row>
    <row r="73" spans="1:15" ht="15" customHeight="1">
      <c r="A73" s="272" t="s">
        <v>254</v>
      </c>
      <c r="B73" s="134">
        <v>40404023</v>
      </c>
      <c r="C73" s="313" t="s">
        <v>605</v>
      </c>
      <c r="D73" s="281">
        <v>2172.72</v>
      </c>
      <c r="E73" s="317"/>
      <c r="F73" s="281">
        <v>2152.2</v>
      </c>
      <c r="I73" s="281"/>
      <c r="J73" s="281"/>
      <c r="K73" s="281"/>
      <c r="L73" s="283"/>
      <c r="M73" s="283"/>
      <c r="N73" s="283"/>
      <c r="O73" s="283"/>
    </row>
    <row r="74" spans="1:15" ht="15" customHeight="1">
      <c r="A74" s="272" t="s">
        <v>254</v>
      </c>
      <c r="B74" s="134">
        <v>40407037</v>
      </c>
      <c r="C74" s="313" t="s">
        <v>606</v>
      </c>
      <c r="D74" s="281">
        <v>3046.51</v>
      </c>
      <c r="E74" s="317"/>
      <c r="F74" s="281">
        <v>3017.74</v>
      </c>
      <c r="I74" s="281"/>
      <c r="J74" s="281"/>
      <c r="K74" s="281"/>
      <c r="L74" s="283"/>
      <c r="M74" s="283"/>
      <c r="N74" s="283"/>
      <c r="O74" s="283"/>
    </row>
    <row r="75" spans="1:15" ht="15" customHeight="1">
      <c r="A75" s="272" t="s">
        <v>254</v>
      </c>
      <c r="B75" s="134">
        <v>40407039</v>
      </c>
      <c r="C75" s="313" t="s">
        <v>607</v>
      </c>
      <c r="D75" s="281">
        <v>2640.01</v>
      </c>
      <c r="E75" s="317"/>
      <c r="F75" s="281">
        <v>2615.05</v>
      </c>
      <c r="I75" s="281"/>
      <c r="J75" s="281"/>
      <c r="K75" s="281"/>
      <c r="L75" s="283"/>
      <c r="M75" s="283"/>
      <c r="N75" s="283"/>
      <c r="O75" s="283"/>
    </row>
    <row r="76" spans="1:15" ht="15" customHeight="1">
      <c r="A76" s="272" t="s">
        <v>254</v>
      </c>
      <c r="B76" s="134">
        <v>40407042</v>
      </c>
      <c r="C76" s="313" t="s">
        <v>608</v>
      </c>
      <c r="D76" s="281">
        <v>2345.28</v>
      </c>
      <c r="E76" s="317"/>
      <c r="F76" s="281">
        <v>2323.1</v>
      </c>
      <c r="I76" s="281"/>
      <c r="J76" s="281"/>
      <c r="K76" s="281"/>
      <c r="L76" s="283"/>
      <c r="M76" s="283"/>
      <c r="N76" s="283"/>
      <c r="O76" s="283"/>
    </row>
    <row r="77" spans="1:15" ht="15" customHeight="1">
      <c r="A77" s="272" t="s">
        <v>254</v>
      </c>
      <c r="B77" s="134">
        <v>40407041</v>
      </c>
      <c r="C77" s="313" t="s">
        <v>609</v>
      </c>
      <c r="D77" s="281">
        <v>2172.72</v>
      </c>
      <c r="E77" s="317"/>
      <c r="F77" s="281">
        <v>2152.2</v>
      </c>
      <c r="I77" s="281"/>
      <c r="J77" s="281"/>
      <c r="K77" s="281"/>
      <c r="L77" s="283"/>
      <c r="M77" s="283"/>
      <c r="N77" s="283"/>
      <c r="O77" s="283"/>
    </row>
    <row r="78" spans="1:15" ht="15" customHeight="1">
      <c r="A78" s="272" t="s">
        <v>255</v>
      </c>
      <c r="B78" s="134">
        <v>40404024</v>
      </c>
      <c r="C78" s="313" t="s">
        <v>610</v>
      </c>
      <c r="D78" s="281">
        <v>3046.51</v>
      </c>
      <c r="E78" s="297"/>
      <c r="F78" s="281">
        <v>3017.74</v>
      </c>
      <c r="I78" s="281"/>
      <c r="J78" s="281"/>
      <c r="K78" s="281"/>
      <c r="L78" s="283"/>
      <c r="M78" s="283"/>
      <c r="N78" s="283"/>
      <c r="O78" s="283"/>
    </row>
    <row r="79" spans="1:15" ht="15" customHeight="1">
      <c r="A79" s="272" t="s">
        <v>255</v>
      </c>
      <c r="B79" s="134">
        <v>40404025</v>
      </c>
      <c r="C79" s="313" t="s">
        <v>611</v>
      </c>
      <c r="D79" s="281">
        <v>2904.67</v>
      </c>
      <c r="E79" s="297"/>
      <c r="F79" s="281">
        <v>2877.18</v>
      </c>
      <c r="I79" s="281"/>
      <c r="J79" s="281"/>
      <c r="K79" s="281"/>
      <c r="L79" s="283"/>
      <c r="M79" s="283"/>
      <c r="N79" s="283"/>
      <c r="O79" s="283"/>
    </row>
    <row r="80" spans="1:15" ht="15" customHeight="1">
      <c r="A80" s="272" t="s">
        <v>255</v>
      </c>
      <c r="B80" s="134">
        <v>40404027</v>
      </c>
      <c r="C80" s="313" t="s">
        <v>256</v>
      </c>
      <c r="D80" s="281">
        <v>2456.24</v>
      </c>
      <c r="E80" s="297"/>
      <c r="F80" s="281">
        <v>2433.03</v>
      </c>
      <c r="I80" s="281"/>
      <c r="J80" s="281"/>
      <c r="K80" s="281"/>
      <c r="L80" s="283"/>
      <c r="M80" s="283"/>
      <c r="N80" s="283"/>
      <c r="O80" s="283"/>
    </row>
    <row r="81" spans="1:15" ht="15" customHeight="1">
      <c r="A81" s="272" t="s">
        <v>255</v>
      </c>
      <c r="B81" s="134">
        <v>40404026</v>
      </c>
      <c r="C81" s="313" t="s">
        <v>612</v>
      </c>
      <c r="D81" s="281">
        <v>2173.82</v>
      </c>
      <c r="E81" s="297"/>
      <c r="F81" s="281">
        <v>2153.28</v>
      </c>
      <c r="I81" s="281"/>
      <c r="J81" s="281"/>
      <c r="K81" s="281"/>
      <c r="L81" s="283"/>
      <c r="M81" s="283"/>
      <c r="N81" s="283"/>
      <c r="O81" s="283"/>
    </row>
    <row r="82" spans="1:15" ht="15" customHeight="1">
      <c r="A82" s="272" t="s">
        <v>255</v>
      </c>
      <c r="B82" s="134">
        <v>40407050</v>
      </c>
      <c r="C82" s="313" t="s">
        <v>606</v>
      </c>
      <c r="D82" s="281">
        <v>3046.51</v>
      </c>
      <c r="E82" s="297"/>
      <c r="F82" s="281">
        <v>3017.74</v>
      </c>
      <c r="I82" s="281"/>
      <c r="J82" s="281"/>
      <c r="K82" s="281"/>
      <c r="L82" s="283"/>
      <c r="M82" s="283"/>
      <c r="N82" s="283"/>
      <c r="O82" s="283"/>
    </row>
    <row r="83" spans="1:15" ht="15" customHeight="1">
      <c r="A83" s="272" t="s">
        <v>255</v>
      </c>
      <c r="B83" s="134">
        <v>40407051</v>
      </c>
      <c r="C83" s="313" t="s">
        <v>613</v>
      </c>
      <c r="D83" s="281">
        <v>2640.01</v>
      </c>
      <c r="E83" s="297"/>
      <c r="F83" s="281">
        <v>2615.05</v>
      </c>
      <c r="I83" s="281"/>
      <c r="J83" s="281"/>
      <c r="K83" s="281"/>
      <c r="L83" s="283"/>
      <c r="M83" s="283"/>
      <c r="N83" s="283"/>
      <c r="O83" s="283"/>
    </row>
    <row r="84" spans="1:15" ht="15" customHeight="1">
      <c r="A84" s="272" t="s">
        <v>255</v>
      </c>
      <c r="B84" s="134">
        <v>40407053</v>
      </c>
      <c r="C84" s="313" t="s">
        <v>608</v>
      </c>
      <c r="D84" s="281">
        <v>2345.28</v>
      </c>
      <c r="E84" s="297"/>
      <c r="F84" s="281">
        <v>2323.1</v>
      </c>
      <c r="I84" s="281"/>
      <c r="J84" s="281"/>
      <c r="K84" s="281"/>
      <c r="L84" s="283"/>
      <c r="M84" s="283"/>
      <c r="N84" s="283"/>
      <c r="O84" s="283"/>
    </row>
    <row r="85" spans="1:15" ht="15" customHeight="1">
      <c r="A85" s="272" t="s">
        <v>255</v>
      </c>
      <c r="B85" s="134">
        <v>40407054</v>
      </c>
      <c r="C85" s="313" t="s">
        <v>614</v>
      </c>
      <c r="D85" s="281">
        <v>2172.72</v>
      </c>
      <c r="E85" s="297"/>
      <c r="F85" s="281">
        <v>2152.2</v>
      </c>
      <c r="I85" s="281"/>
      <c r="J85" s="281"/>
      <c r="K85" s="281"/>
      <c r="L85" s="283"/>
      <c r="M85" s="283"/>
      <c r="N85" s="283"/>
      <c r="O85" s="283"/>
    </row>
    <row r="86" spans="1:15" ht="15" customHeight="1">
      <c r="A86" s="272" t="s">
        <v>257</v>
      </c>
      <c r="B86" s="134">
        <v>40901024</v>
      </c>
      <c r="C86" s="313" t="s">
        <v>615</v>
      </c>
      <c r="D86" s="281">
        <v>3960.34</v>
      </c>
      <c r="E86" s="297"/>
      <c r="F86" s="281">
        <v>3922.39</v>
      </c>
      <c r="I86" s="321"/>
      <c r="J86" s="281"/>
      <c r="K86" s="281"/>
      <c r="L86" s="283"/>
      <c r="M86" s="283"/>
      <c r="N86" s="283"/>
      <c r="O86" s="283"/>
    </row>
    <row r="87" spans="1:15" ht="15" customHeight="1">
      <c r="A87" s="272" t="s">
        <v>257</v>
      </c>
      <c r="B87" s="134">
        <v>40003001</v>
      </c>
      <c r="C87" s="313" t="s">
        <v>616</v>
      </c>
      <c r="D87" s="281">
        <v>3760.82</v>
      </c>
      <c r="E87" s="297"/>
      <c r="F87" s="281">
        <v>3724.69</v>
      </c>
      <c r="I87" s="281"/>
      <c r="J87" s="281"/>
      <c r="K87" s="281"/>
      <c r="L87" s="283"/>
      <c r="M87" s="283"/>
      <c r="N87" s="283"/>
      <c r="O87" s="283"/>
    </row>
    <row r="88" spans="1:15" ht="15" customHeight="1">
      <c r="A88" s="272" t="s">
        <v>257</v>
      </c>
      <c r="B88" s="134">
        <v>40003002</v>
      </c>
      <c r="C88" s="313" t="s">
        <v>258</v>
      </c>
      <c r="D88" s="281">
        <v>3630.69</v>
      </c>
      <c r="E88" s="297"/>
      <c r="F88" s="281">
        <v>3595.49</v>
      </c>
      <c r="I88" s="281"/>
      <c r="J88" s="281"/>
      <c r="K88" s="281"/>
      <c r="L88" s="283"/>
      <c r="M88" s="283"/>
      <c r="N88" s="283"/>
      <c r="O88" s="283"/>
    </row>
    <row r="89" spans="1:15" ht="15" customHeight="1">
      <c r="A89" s="272" t="s">
        <v>257</v>
      </c>
      <c r="B89" s="134">
        <v>40003003</v>
      </c>
      <c r="C89" s="313" t="s">
        <v>617</v>
      </c>
      <c r="D89" s="281">
        <v>3458.18</v>
      </c>
      <c r="E89" s="297"/>
      <c r="F89" s="281">
        <v>3424.65</v>
      </c>
      <c r="I89" s="281"/>
      <c r="J89" s="281"/>
      <c r="K89" s="281"/>
      <c r="L89" s="283"/>
      <c r="M89" s="283"/>
      <c r="N89" s="283"/>
      <c r="O89" s="283"/>
    </row>
    <row r="90" spans="1:15" ht="15" customHeight="1">
      <c r="A90" s="272" t="s">
        <v>257</v>
      </c>
      <c r="B90" s="134">
        <v>40003004</v>
      </c>
      <c r="C90" s="313" t="s">
        <v>259</v>
      </c>
      <c r="D90" s="281">
        <v>3358.72</v>
      </c>
      <c r="E90" s="297"/>
      <c r="F90" s="281">
        <v>3326.36</v>
      </c>
      <c r="I90" s="281"/>
      <c r="J90" s="281"/>
      <c r="K90" s="281"/>
      <c r="L90" s="283"/>
      <c r="M90" s="283"/>
      <c r="N90" s="283"/>
      <c r="O90" s="283"/>
    </row>
    <row r="91" spans="1:15" ht="15" customHeight="1">
      <c r="A91" s="272" t="s">
        <v>260</v>
      </c>
      <c r="B91" s="134">
        <v>40904001</v>
      </c>
      <c r="C91" s="313" t="s">
        <v>626</v>
      </c>
      <c r="D91" s="281">
        <v>3148.6</v>
      </c>
      <c r="E91" s="312"/>
      <c r="F91" s="281">
        <v>3118.72</v>
      </c>
      <c r="J91" s="281"/>
      <c r="K91" s="281"/>
      <c r="L91" s="283"/>
      <c r="M91" s="283"/>
      <c r="N91" s="283"/>
      <c r="O91" s="283"/>
    </row>
    <row r="92" spans="1:15" ht="15" customHeight="1">
      <c r="A92" s="272" t="s">
        <v>260</v>
      </c>
      <c r="B92" s="134">
        <v>40904002</v>
      </c>
      <c r="C92" s="313" t="s">
        <v>627</v>
      </c>
      <c r="D92" s="281">
        <v>2741.83</v>
      </c>
      <c r="E92" s="312"/>
      <c r="F92" s="281">
        <v>2715.81</v>
      </c>
      <c r="J92" s="281"/>
      <c r="K92" s="281"/>
      <c r="L92" s="283"/>
      <c r="M92" s="283"/>
      <c r="N92" s="283"/>
      <c r="O92" s="283"/>
    </row>
    <row r="93" spans="1:15" ht="15" customHeight="1">
      <c r="A93" s="272" t="s">
        <v>260</v>
      </c>
      <c r="B93" s="134">
        <v>40904003</v>
      </c>
      <c r="C93" s="313" t="s">
        <v>314</v>
      </c>
      <c r="D93" s="281">
        <v>2560.25</v>
      </c>
      <c r="E93" s="312"/>
      <c r="F93" s="281">
        <v>2536</v>
      </c>
      <c r="I93" s="281"/>
      <c r="J93" s="281"/>
      <c r="K93" s="281"/>
      <c r="L93" s="283"/>
      <c r="M93" s="283"/>
      <c r="N93" s="283"/>
      <c r="O93" s="283"/>
    </row>
    <row r="94" spans="1:15" ht="15" customHeight="1">
      <c r="A94" s="272" t="s">
        <v>260</v>
      </c>
      <c r="B94" s="134">
        <v>40904008</v>
      </c>
      <c r="C94" s="313" t="s">
        <v>315</v>
      </c>
      <c r="D94" s="281">
        <v>2500.33</v>
      </c>
      <c r="E94" s="312"/>
      <c r="F94" s="281">
        <v>2476.58</v>
      </c>
      <c r="I94" s="281"/>
      <c r="J94" s="281"/>
      <c r="K94" s="281"/>
      <c r="L94" s="283"/>
      <c r="M94" s="283"/>
      <c r="N94" s="283"/>
      <c r="O94" s="283"/>
    </row>
    <row r="95" spans="1:15" ht="15" customHeight="1">
      <c r="A95" s="272" t="s">
        <v>260</v>
      </c>
      <c r="B95" s="134">
        <v>40904005</v>
      </c>
      <c r="C95" s="313" t="s">
        <v>628</v>
      </c>
      <c r="D95" s="281">
        <v>2862.88</v>
      </c>
      <c r="E95" s="312"/>
      <c r="F95" s="281">
        <v>2835.72</v>
      </c>
      <c r="I95" s="281"/>
      <c r="J95" s="281"/>
      <c r="K95" s="281"/>
      <c r="L95" s="283"/>
      <c r="M95" s="283"/>
      <c r="N95" s="283"/>
      <c r="O95" s="283"/>
    </row>
    <row r="96" spans="1:15" ht="15" customHeight="1">
      <c r="A96" s="272" t="s">
        <v>260</v>
      </c>
      <c r="B96" s="134">
        <v>40904006</v>
      </c>
      <c r="C96" s="313" t="s">
        <v>629</v>
      </c>
      <c r="D96" s="281">
        <v>2351.34</v>
      </c>
      <c r="E96" s="312"/>
      <c r="F96" s="281">
        <v>2329.05</v>
      </c>
      <c r="I96" s="281"/>
      <c r="J96" s="281"/>
      <c r="K96" s="281"/>
      <c r="L96" s="283"/>
      <c r="M96" s="283"/>
      <c r="N96" s="283"/>
      <c r="O96" s="283"/>
    </row>
    <row r="97" spans="1:15" ht="15" customHeight="1">
      <c r="A97" s="272" t="s">
        <v>260</v>
      </c>
      <c r="B97" s="134">
        <v>40907015</v>
      </c>
      <c r="C97" s="313" t="s">
        <v>630</v>
      </c>
      <c r="D97" s="281">
        <v>3148.6</v>
      </c>
      <c r="E97" s="312"/>
      <c r="F97" s="281">
        <v>3118.72</v>
      </c>
      <c r="I97" s="281"/>
      <c r="J97" s="281"/>
      <c r="K97" s="281"/>
      <c r="L97" s="283"/>
      <c r="M97" s="283"/>
      <c r="N97" s="283"/>
      <c r="O97" s="283"/>
    </row>
    <row r="98" spans="1:15" ht="15" customHeight="1">
      <c r="A98" s="272" t="s">
        <v>260</v>
      </c>
      <c r="B98" s="134">
        <v>40907016</v>
      </c>
      <c r="C98" s="313" t="s">
        <v>631</v>
      </c>
      <c r="D98" s="281">
        <v>2741.83</v>
      </c>
      <c r="E98" s="312"/>
      <c r="F98" s="281">
        <v>2715.81</v>
      </c>
      <c r="I98" s="281"/>
      <c r="J98" s="281"/>
      <c r="K98" s="281"/>
      <c r="L98" s="283"/>
      <c r="M98" s="283"/>
      <c r="N98" s="283"/>
      <c r="O98" s="283"/>
    </row>
    <row r="99" spans="1:15" ht="15" customHeight="1">
      <c r="A99" s="272" t="s">
        <v>260</v>
      </c>
      <c r="B99" s="134">
        <v>40907017</v>
      </c>
      <c r="C99" s="313" t="s">
        <v>632</v>
      </c>
      <c r="D99" s="281">
        <v>2560.25</v>
      </c>
      <c r="E99" s="312"/>
      <c r="F99" s="281">
        <v>2536</v>
      </c>
      <c r="I99" s="281"/>
      <c r="J99" s="281"/>
      <c r="K99" s="281"/>
      <c r="L99" s="283"/>
      <c r="M99" s="283"/>
      <c r="N99" s="283"/>
      <c r="O99" s="283"/>
    </row>
    <row r="100" spans="1:15" ht="15" customHeight="1">
      <c r="A100" s="272" t="s">
        <v>260</v>
      </c>
      <c r="B100" s="134">
        <v>40907022</v>
      </c>
      <c r="C100" s="313" t="s">
        <v>633</v>
      </c>
      <c r="D100" s="281">
        <v>2500.33</v>
      </c>
      <c r="E100" s="312"/>
      <c r="F100" s="281">
        <v>2476.58</v>
      </c>
      <c r="I100" s="281"/>
      <c r="J100" s="281"/>
      <c r="K100" s="281"/>
      <c r="L100" s="283"/>
      <c r="M100" s="283"/>
      <c r="N100" s="283"/>
      <c r="O100" s="283"/>
    </row>
    <row r="101" spans="1:15" ht="15" customHeight="1">
      <c r="A101" s="272" t="s">
        <v>260</v>
      </c>
      <c r="B101" s="134">
        <v>40907019</v>
      </c>
      <c r="C101" s="313" t="s">
        <v>634</v>
      </c>
      <c r="D101" s="281">
        <v>2862.88</v>
      </c>
      <c r="E101" s="312"/>
      <c r="F101" s="281">
        <v>2835.72</v>
      </c>
      <c r="I101" s="281"/>
      <c r="J101" s="281"/>
      <c r="K101" s="281"/>
      <c r="L101" s="283"/>
      <c r="M101" s="283"/>
      <c r="N101" s="283"/>
      <c r="O101" s="283"/>
    </row>
    <row r="102" spans="1:15" ht="15" customHeight="1">
      <c r="A102" s="272" t="s">
        <v>260</v>
      </c>
      <c r="B102" s="134">
        <v>40907020</v>
      </c>
      <c r="C102" s="313" t="s">
        <v>635</v>
      </c>
      <c r="D102" s="281">
        <v>2351.34</v>
      </c>
      <c r="E102" s="312"/>
      <c r="F102" s="281">
        <v>2329.05</v>
      </c>
      <c r="I102" s="281"/>
      <c r="J102" s="281"/>
      <c r="K102" s="281"/>
      <c r="L102" s="283"/>
      <c r="M102" s="283"/>
      <c r="N102" s="283"/>
      <c r="O102" s="283"/>
    </row>
    <row r="103" spans="1:15" ht="15" customHeight="1">
      <c r="A103" s="272" t="s">
        <v>261</v>
      </c>
      <c r="B103" s="134">
        <v>41404003</v>
      </c>
      <c r="C103" s="313" t="s">
        <v>618</v>
      </c>
      <c r="D103" s="281">
        <v>2979.48</v>
      </c>
      <c r="E103" s="312"/>
      <c r="F103" s="281">
        <v>2951.19</v>
      </c>
      <c r="J103" s="281"/>
      <c r="K103" s="281"/>
      <c r="L103" s="283"/>
      <c r="M103" s="283"/>
      <c r="N103" s="283"/>
      <c r="O103" s="283"/>
    </row>
    <row r="104" spans="1:15" ht="15" customHeight="1">
      <c r="A104" s="272" t="s">
        <v>261</v>
      </c>
      <c r="B104" s="134">
        <v>41404004</v>
      </c>
      <c r="C104" s="313" t="s">
        <v>636</v>
      </c>
      <c r="D104" s="281">
        <v>2642.51</v>
      </c>
      <c r="E104" s="312"/>
      <c r="F104" s="281">
        <v>2617.46</v>
      </c>
      <c r="J104" s="281"/>
      <c r="K104" s="281"/>
      <c r="L104" s="283"/>
      <c r="M104" s="283"/>
      <c r="N104" s="283"/>
      <c r="O104" s="283"/>
    </row>
    <row r="105" spans="1:15" ht="15" customHeight="1">
      <c r="A105" s="272" t="s">
        <v>261</v>
      </c>
      <c r="B105" s="134">
        <v>41404005</v>
      </c>
      <c r="C105" s="313" t="s">
        <v>637</v>
      </c>
      <c r="D105" s="281">
        <v>2374.48</v>
      </c>
      <c r="E105" s="312"/>
      <c r="F105" s="281">
        <v>2351.94</v>
      </c>
      <c r="I105" s="281"/>
      <c r="J105" s="281"/>
      <c r="K105" s="281"/>
      <c r="L105" s="283"/>
      <c r="M105" s="283"/>
      <c r="N105" s="283"/>
      <c r="O105" s="283"/>
    </row>
    <row r="106" spans="1:15" ht="15" customHeight="1">
      <c r="A106" s="272" t="s">
        <v>261</v>
      </c>
      <c r="B106" s="134">
        <v>41407011</v>
      </c>
      <c r="C106" s="313" t="s">
        <v>619</v>
      </c>
      <c r="D106" s="281">
        <v>2979.48</v>
      </c>
      <c r="E106" s="312"/>
      <c r="F106" s="281">
        <v>2951.19</v>
      </c>
      <c r="I106" s="281"/>
      <c r="J106" s="281"/>
      <c r="K106" s="281"/>
      <c r="L106" s="283"/>
      <c r="M106" s="283"/>
      <c r="N106" s="283"/>
      <c r="O106" s="283"/>
    </row>
    <row r="107" spans="1:15" ht="15" customHeight="1">
      <c r="A107" s="272" t="s">
        <v>261</v>
      </c>
      <c r="B107" s="134">
        <v>41407012</v>
      </c>
      <c r="C107" s="313" t="s">
        <v>638</v>
      </c>
      <c r="D107" s="281">
        <v>2642.51</v>
      </c>
      <c r="E107" s="312"/>
      <c r="F107" s="281">
        <v>2617.46</v>
      </c>
      <c r="I107" s="281"/>
      <c r="J107" s="281"/>
      <c r="K107" s="281"/>
      <c r="L107" s="283"/>
      <c r="M107" s="283"/>
      <c r="N107" s="283"/>
      <c r="O107" s="283"/>
    </row>
    <row r="108" spans="1:15" ht="15" customHeight="1">
      <c r="A108" s="272" t="s">
        <v>261</v>
      </c>
      <c r="B108" s="134">
        <v>41407013</v>
      </c>
      <c r="C108" s="313" t="s">
        <v>639</v>
      </c>
      <c r="D108" s="281">
        <v>2374.48</v>
      </c>
      <c r="E108" s="312"/>
      <c r="F108" s="281">
        <v>2351.94</v>
      </c>
      <c r="I108" s="281"/>
      <c r="J108" s="281"/>
      <c r="K108" s="281"/>
      <c r="L108" s="283"/>
      <c r="M108" s="283"/>
      <c r="N108" s="283"/>
      <c r="O108" s="283"/>
    </row>
    <row r="109" spans="1:15" ht="15" customHeight="1">
      <c r="A109" s="272" t="s">
        <v>262</v>
      </c>
      <c r="B109" s="134">
        <v>41804002</v>
      </c>
      <c r="C109" s="313" t="s">
        <v>640</v>
      </c>
      <c r="D109" s="281">
        <v>2487.16</v>
      </c>
      <c r="E109" s="312"/>
      <c r="F109" s="281">
        <v>2463.54</v>
      </c>
      <c r="J109" s="281"/>
      <c r="K109" s="281"/>
      <c r="L109" s="283"/>
      <c r="M109" s="283"/>
      <c r="N109" s="283"/>
      <c r="O109" s="283"/>
    </row>
    <row r="110" spans="1:15" ht="15" customHeight="1">
      <c r="A110" s="272" t="s">
        <v>262</v>
      </c>
      <c r="B110" s="134">
        <v>41804003</v>
      </c>
      <c r="C110" s="313" t="s">
        <v>641</v>
      </c>
      <c r="D110" s="281">
        <v>2359.52</v>
      </c>
      <c r="E110" s="312"/>
      <c r="F110" s="281">
        <v>2337.15</v>
      </c>
      <c r="J110" s="281"/>
      <c r="K110" s="281"/>
      <c r="L110" s="283"/>
      <c r="M110" s="283"/>
      <c r="N110" s="283"/>
      <c r="O110" s="283"/>
    </row>
    <row r="111" spans="1:15" ht="15" customHeight="1">
      <c r="A111" s="272" t="s">
        <v>262</v>
      </c>
      <c r="B111" s="134">
        <v>41804004</v>
      </c>
      <c r="C111" s="313" t="s">
        <v>642</v>
      </c>
      <c r="D111" s="281">
        <v>2343.06</v>
      </c>
      <c r="E111" s="312"/>
      <c r="F111" s="281">
        <v>2320.84</v>
      </c>
      <c r="I111" s="281"/>
      <c r="J111" s="281"/>
      <c r="K111" s="281"/>
      <c r="L111" s="283"/>
      <c r="M111" s="283"/>
      <c r="N111" s="283"/>
      <c r="O111" s="283"/>
    </row>
    <row r="112" spans="1:15" ht="15" customHeight="1">
      <c r="A112" s="272" t="s">
        <v>262</v>
      </c>
      <c r="B112" s="134">
        <v>41804005</v>
      </c>
      <c r="C112" s="313" t="s">
        <v>643</v>
      </c>
      <c r="D112" s="281">
        <v>2137.85</v>
      </c>
      <c r="E112" s="312"/>
      <c r="F112" s="281">
        <v>2117.56</v>
      </c>
      <c r="I112" s="281"/>
      <c r="J112" s="281"/>
      <c r="K112" s="281"/>
      <c r="L112" s="283"/>
      <c r="M112" s="283"/>
      <c r="N112" s="283"/>
      <c r="O112" s="283"/>
    </row>
    <row r="113" spans="1:15" ht="15" customHeight="1">
      <c r="A113" s="272" t="s">
        <v>262</v>
      </c>
      <c r="B113" s="134">
        <v>41804008</v>
      </c>
      <c r="C113" s="313" t="s">
        <v>644</v>
      </c>
      <c r="D113" s="281">
        <v>2487.16</v>
      </c>
      <c r="E113" s="312"/>
      <c r="F113" s="281">
        <v>2463.54</v>
      </c>
      <c r="I113" s="281"/>
      <c r="J113" s="281"/>
      <c r="K113" s="281"/>
      <c r="L113" s="283"/>
      <c r="M113" s="283"/>
      <c r="N113" s="283"/>
      <c r="O113" s="283"/>
    </row>
    <row r="114" spans="1:15" ht="15" customHeight="1">
      <c r="A114" s="272" t="s">
        <v>262</v>
      </c>
      <c r="B114" s="134">
        <v>41804009</v>
      </c>
      <c r="C114" s="313" t="s">
        <v>645</v>
      </c>
      <c r="D114" s="281">
        <v>2343.06</v>
      </c>
      <c r="E114" s="312"/>
      <c r="F114" s="281">
        <v>2320.84</v>
      </c>
      <c r="I114" s="281"/>
      <c r="J114" s="281"/>
      <c r="K114" s="281"/>
      <c r="L114" s="283"/>
      <c r="M114" s="283"/>
      <c r="N114" s="283"/>
      <c r="O114" s="283"/>
    </row>
    <row r="115" spans="1:15" ht="15" customHeight="1">
      <c r="A115" s="272" t="s">
        <v>262</v>
      </c>
      <c r="B115" s="134">
        <v>41807002</v>
      </c>
      <c r="C115" s="313" t="s">
        <v>646</v>
      </c>
      <c r="D115" s="281">
        <v>2487.16</v>
      </c>
      <c r="E115" s="312"/>
      <c r="F115" s="281">
        <v>2463.54</v>
      </c>
      <c r="I115" s="281"/>
      <c r="J115" s="281"/>
      <c r="K115" s="281"/>
      <c r="L115" s="283"/>
      <c r="M115" s="283"/>
      <c r="N115" s="283"/>
      <c r="O115" s="283"/>
    </row>
    <row r="116" spans="1:15" ht="15" customHeight="1">
      <c r="A116" s="272" t="s">
        <v>262</v>
      </c>
      <c r="B116" s="134">
        <v>41807003</v>
      </c>
      <c r="C116" s="313" t="s">
        <v>647</v>
      </c>
      <c r="D116" s="281">
        <v>2359.52</v>
      </c>
      <c r="E116" s="312"/>
      <c r="F116" s="281">
        <v>2337.15</v>
      </c>
      <c r="I116" s="281"/>
      <c r="J116" s="281"/>
      <c r="K116" s="281"/>
      <c r="L116" s="283"/>
      <c r="M116" s="283"/>
      <c r="N116" s="283"/>
      <c r="O116" s="283"/>
    </row>
    <row r="117" spans="1:15" ht="15" customHeight="1">
      <c r="A117" s="272" t="s">
        <v>262</v>
      </c>
      <c r="B117" s="134">
        <v>41807004</v>
      </c>
      <c r="C117" s="313" t="s">
        <v>632</v>
      </c>
      <c r="D117" s="281">
        <v>2343.06</v>
      </c>
      <c r="E117" s="312"/>
      <c r="F117" s="281">
        <v>2320.84</v>
      </c>
      <c r="I117" s="281"/>
      <c r="J117" s="281"/>
      <c r="K117" s="281"/>
      <c r="L117" s="283"/>
      <c r="M117" s="283"/>
      <c r="N117" s="283"/>
      <c r="O117" s="283"/>
    </row>
    <row r="118" spans="1:15" ht="15" customHeight="1">
      <c r="A118" s="272" t="s">
        <v>262</v>
      </c>
      <c r="B118" s="134">
        <v>41807005</v>
      </c>
      <c r="C118" s="313" t="s">
        <v>648</v>
      </c>
      <c r="D118" s="281">
        <v>2137.85</v>
      </c>
      <c r="E118" s="312"/>
      <c r="F118" s="281">
        <v>2117.56</v>
      </c>
      <c r="I118" s="281"/>
      <c r="J118" s="281"/>
      <c r="K118" s="281"/>
      <c r="L118" s="283"/>
      <c r="M118" s="283"/>
      <c r="N118" s="283"/>
      <c r="O118" s="283"/>
    </row>
    <row r="119" spans="1:15" ht="15" customHeight="1">
      <c r="A119" s="272" t="s">
        <v>262</v>
      </c>
      <c r="B119" s="134">
        <v>41807008</v>
      </c>
      <c r="C119" s="313" t="s">
        <v>634</v>
      </c>
      <c r="D119" s="281">
        <v>2487.16</v>
      </c>
      <c r="E119" s="312"/>
      <c r="F119" s="281">
        <v>2463.54</v>
      </c>
      <c r="I119" s="281"/>
      <c r="J119" s="281"/>
      <c r="K119" s="281"/>
      <c r="L119" s="283"/>
      <c r="M119" s="283"/>
      <c r="N119" s="283"/>
      <c r="O119" s="283"/>
    </row>
    <row r="120" spans="1:15" ht="15" customHeight="1">
      <c r="A120" s="272" t="s">
        <v>262</v>
      </c>
      <c r="B120" s="134">
        <v>41807009</v>
      </c>
      <c r="C120" s="313" t="s">
        <v>649</v>
      </c>
      <c r="D120" s="281">
        <v>2343.06</v>
      </c>
      <c r="E120" s="312"/>
      <c r="F120" s="281">
        <v>2320.84</v>
      </c>
      <c r="I120" s="281"/>
      <c r="J120" s="281"/>
      <c r="K120" s="281"/>
      <c r="L120" s="283"/>
      <c r="M120" s="283"/>
      <c r="N120" s="283"/>
      <c r="O120" s="283"/>
    </row>
    <row r="121" spans="1:15" ht="15" customHeight="1">
      <c r="A121" s="272" t="s">
        <v>263</v>
      </c>
      <c r="B121" s="134">
        <v>41604005</v>
      </c>
      <c r="C121" s="313" t="s">
        <v>618</v>
      </c>
      <c r="D121" s="281">
        <v>3275.54</v>
      </c>
      <c r="E121" s="297"/>
      <c r="F121" s="281">
        <v>3244.13</v>
      </c>
      <c r="G121" s="276"/>
      <c r="H121" s="276"/>
      <c r="I121" s="276"/>
      <c r="J121" s="281"/>
      <c r="K121" s="281"/>
      <c r="L121" s="283"/>
      <c r="M121" s="283"/>
      <c r="N121" s="283"/>
      <c r="O121" s="283"/>
    </row>
    <row r="122" spans="1:15" ht="15" customHeight="1">
      <c r="A122" s="272" t="s">
        <v>263</v>
      </c>
      <c r="B122" s="134">
        <v>41604006</v>
      </c>
      <c r="C122" s="313" t="s">
        <v>650</v>
      </c>
      <c r="D122" s="281">
        <v>3118.61</v>
      </c>
      <c r="E122" s="297"/>
      <c r="F122" s="281">
        <v>3088.65</v>
      </c>
      <c r="G122" s="276"/>
      <c r="H122" s="276"/>
      <c r="I122" s="276"/>
      <c r="J122" s="281"/>
      <c r="K122" s="281"/>
      <c r="L122" s="283"/>
      <c r="M122" s="283"/>
      <c r="N122" s="283"/>
      <c r="O122" s="283"/>
    </row>
    <row r="123" spans="1:15" ht="15" customHeight="1">
      <c r="A123" s="272" t="s">
        <v>263</v>
      </c>
      <c r="B123" s="134">
        <v>41607005</v>
      </c>
      <c r="C123" s="313" t="s">
        <v>651</v>
      </c>
      <c r="D123" s="281">
        <v>3275.54</v>
      </c>
      <c r="E123" s="297"/>
      <c r="F123" s="281">
        <v>3244.13</v>
      </c>
      <c r="I123" s="281"/>
      <c r="J123" s="281"/>
      <c r="K123" s="281"/>
      <c r="L123" s="283"/>
      <c r="M123" s="283"/>
      <c r="N123" s="283"/>
      <c r="O123" s="283"/>
    </row>
    <row r="124" spans="1:15" ht="15" customHeight="1">
      <c r="A124" s="272" t="s">
        <v>263</v>
      </c>
      <c r="B124" s="134">
        <v>41607006</v>
      </c>
      <c r="C124" s="313" t="s">
        <v>652</v>
      </c>
      <c r="D124" s="281">
        <v>3118.61</v>
      </c>
      <c r="E124" s="297"/>
      <c r="F124" s="281">
        <v>3088.65</v>
      </c>
      <c r="I124" s="281"/>
      <c r="J124" s="281"/>
      <c r="K124" s="281"/>
      <c r="L124" s="283"/>
      <c r="M124" s="283"/>
      <c r="N124" s="283"/>
      <c r="O124" s="283"/>
    </row>
    <row r="125" spans="1:15" ht="15" customHeight="1">
      <c r="A125" s="272" t="s">
        <v>264</v>
      </c>
      <c r="B125" s="134">
        <v>41904008</v>
      </c>
      <c r="C125" s="313" t="s">
        <v>640</v>
      </c>
      <c r="D125" s="281">
        <v>3301.09</v>
      </c>
      <c r="E125" s="297"/>
      <c r="F125" s="281">
        <v>3269.76</v>
      </c>
      <c r="J125" s="281"/>
      <c r="K125" s="281"/>
      <c r="L125" s="283"/>
      <c r="M125" s="283"/>
      <c r="N125" s="283"/>
      <c r="O125" s="283"/>
    </row>
    <row r="126" spans="1:15" ht="15" customHeight="1">
      <c r="A126" s="272" t="s">
        <v>264</v>
      </c>
      <c r="B126" s="134">
        <v>41904009</v>
      </c>
      <c r="C126" s="313" t="s">
        <v>653</v>
      </c>
      <c r="D126" s="281">
        <v>3014.32</v>
      </c>
      <c r="E126" s="297"/>
      <c r="F126" s="281">
        <v>2985.71</v>
      </c>
      <c r="J126" s="281"/>
      <c r="K126" s="281"/>
      <c r="L126" s="283"/>
      <c r="M126" s="283"/>
      <c r="N126" s="283"/>
      <c r="O126" s="283"/>
    </row>
    <row r="127" spans="1:15" ht="15" customHeight="1">
      <c r="A127" s="272" t="s">
        <v>264</v>
      </c>
      <c r="B127" s="134">
        <v>41904010</v>
      </c>
      <c r="C127" s="313" t="s">
        <v>642</v>
      </c>
      <c r="D127" s="281">
        <v>2927.06</v>
      </c>
      <c r="E127" s="297"/>
      <c r="F127" s="281">
        <v>2899.32</v>
      </c>
      <c r="I127" s="281"/>
      <c r="J127" s="281"/>
      <c r="K127" s="281"/>
      <c r="L127" s="283"/>
      <c r="M127" s="283"/>
      <c r="N127" s="283"/>
      <c r="O127" s="283"/>
    </row>
    <row r="128" spans="1:15" ht="15" customHeight="1">
      <c r="A128" s="272" t="s">
        <v>264</v>
      </c>
      <c r="B128" s="134">
        <v>41904018</v>
      </c>
      <c r="C128" s="313" t="s">
        <v>654</v>
      </c>
      <c r="D128" s="281">
        <v>2736.9</v>
      </c>
      <c r="E128" s="297"/>
      <c r="F128" s="281">
        <v>2710.91</v>
      </c>
      <c r="I128" s="281"/>
      <c r="J128" s="281"/>
      <c r="K128" s="281"/>
      <c r="L128" s="283"/>
      <c r="M128" s="283"/>
      <c r="N128" s="283"/>
      <c r="O128" s="283"/>
    </row>
    <row r="129" spans="1:15" ht="15" customHeight="1">
      <c r="A129" s="272" t="s">
        <v>264</v>
      </c>
      <c r="B129" s="134">
        <v>41904014</v>
      </c>
      <c r="C129" s="313" t="s">
        <v>644</v>
      </c>
      <c r="D129" s="281">
        <v>3170.46</v>
      </c>
      <c r="E129" s="297"/>
      <c r="F129" s="281">
        <v>3140.38</v>
      </c>
      <c r="I129" s="281"/>
      <c r="J129" s="281"/>
      <c r="K129" s="281"/>
      <c r="L129" s="283"/>
      <c r="M129" s="283"/>
      <c r="N129" s="283"/>
      <c r="O129" s="283"/>
    </row>
    <row r="130" spans="1:15" ht="15" customHeight="1">
      <c r="A130" s="272" t="s">
        <v>264</v>
      </c>
      <c r="B130" s="134">
        <v>41904015</v>
      </c>
      <c r="C130" s="313" t="s">
        <v>645</v>
      </c>
      <c r="D130" s="281">
        <v>2927.06</v>
      </c>
      <c r="E130" s="297"/>
      <c r="F130" s="281">
        <v>2899.32</v>
      </c>
      <c r="I130" s="281"/>
      <c r="J130" s="281"/>
      <c r="K130" s="281"/>
      <c r="L130" s="283"/>
      <c r="M130" s="283"/>
      <c r="N130" s="283"/>
      <c r="O130" s="283"/>
    </row>
    <row r="131" spans="1:15" ht="15" customHeight="1">
      <c r="A131" s="272" t="s">
        <v>264</v>
      </c>
      <c r="B131" s="134">
        <v>41907008</v>
      </c>
      <c r="C131" s="313" t="s">
        <v>646</v>
      </c>
      <c r="D131" s="281">
        <v>3301.09</v>
      </c>
      <c r="E131" s="297"/>
      <c r="F131" s="281">
        <v>3269.76</v>
      </c>
      <c r="I131" s="281"/>
      <c r="J131" s="281"/>
      <c r="K131" s="281"/>
      <c r="L131" s="283"/>
      <c r="M131" s="283"/>
      <c r="N131" s="283"/>
      <c r="O131" s="283"/>
    </row>
    <row r="132" spans="1:15" ht="15" customHeight="1">
      <c r="A132" s="272" t="s">
        <v>264</v>
      </c>
      <c r="B132" s="134">
        <v>41907009</v>
      </c>
      <c r="C132" s="313" t="s">
        <v>655</v>
      </c>
      <c r="D132" s="281">
        <v>3014.32</v>
      </c>
      <c r="E132" s="297"/>
      <c r="F132" s="281">
        <v>2985.71</v>
      </c>
      <c r="I132" s="281"/>
      <c r="J132" s="281"/>
      <c r="K132" s="281"/>
      <c r="L132" s="283"/>
      <c r="M132" s="283"/>
      <c r="N132" s="283"/>
      <c r="O132" s="283"/>
    </row>
    <row r="133" spans="1:15" ht="15" customHeight="1">
      <c r="A133" s="272" t="s">
        <v>264</v>
      </c>
      <c r="B133" s="134">
        <v>41907010</v>
      </c>
      <c r="C133" s="313" t="s">
        <v>632</v>
      </c>
      <c r="D133" s="281">
        <v>2927.06</v>
      </c>
      <c r="E133" s="297"/>
      <c r="F133" s="281">
        <v>2899.32</v>
      </c>
      <c r="I133" s="281"/>
      <c r="J133" s="281"/>
      <c r="K133" s="281"/>
      <c r="L133" s="283"/>
      <c r="M133" s="283"/>
      <c r="N133" s="283"/>
      <c r="O133" s="283"/>
    </row>
    <row r="134" spans="1:15" ht="15" customHeight="1">
      <c r="A134" s="272" t="s">
        <v>264</v>
      </c>
      <c r="B134" s="134">
        <v>41907018</v>
      </c>
      <c r="C134" s="313" t="s">
        <v>633</v>
      </c>
      <c r="D134" s="281">
        <v>2736.9</v>
      </c>
      <c r="E134" s="297"/>
      <c r="F134" s="281">
        <v>2710.91</v>
      </c>
      <c r="I134" s="281"/>
      <c r="J134" s="281"/>
      <c r="K134" s="281"/>
      <c r="L134" s="283"/>
      <c r="M134" s="283"/>
      <c r="N134" s="283"/>
      <c r="O134" s="283"/>
    </row>
    <row r="135" spans="1:15" ht="15" customHeight="1">
      <c r="A135" s="272" t="s">
        <v>264</v>
      </c>
      <c r="B135" s="134">
        <v>41907014</v>
      </c>
      <c r="C135" s="313" t="s">
        <v>634</v>
      </c>
      <c r="D135" s="281">
        <v>3170.46</v>
      </c>
      <c r="E135" s="297"/>
      <c r="F135" s="281">
        <v>3140.38</v>
      </c>
      <c r="I135" s="281"/>
      <c r="J135" s="281"/>
      <c r="K135" s="281"/>
      <c r="L135" s="283"/>
      <c r="M135" s="283"/>
      <c r="N135" s="283"/>
      <c r="O135" s="283"/>
    </row>
    <row r="136" spans="1:15" ht="15" customHeight="1">
      <c r="A136" s="272" t="s">
        <v>264</v>
      </c>
      <c r="B136" s="134">
        <v>41907015</v>
      </c>
      <c r="C136" s="313" t="s">
        <v>649</v>
      </c>
      <c r="D136" s="281">
        <v>2927.06</v>
      </c>
      <c r="E136" s="297"/>
      <c r="F136" s="281">
        <v>2899.32</v>
      </c>
      <c r="I136" s="281"/>
      <c r="J136" s="281"/>
      <c r="K136" s="281"/>
      <c r="L136" s="283"/>
      <c r="M136" s="283"/>
      <c r="N136" s="283"/>
      <c r="O136" s="283"/>
    </row>
    <row r="137" spans="1:15" ht="15" customHeight="1">
      <c r="A137" s="272" t="s">
        <v>265</v>
      </c>
      <c r="B137" s="134">
        <v>42004003</v>
      </c>
      <c r="C137" s="313" t="s">
        <v>656</v>
      </c>
      <c r="D137" s="281">
        <v>2850.38</v>
      </c>
      <c r="E137" s="297"/>
      <c r="F137" s="281">
        <v>2823.28</v>
      </c>
      <c r="G137" s="304"/>
      <c r="H137" s="304"/>
      <c r="I137" s="304"/>
      <c r="J137" s="281"/>
      <c r="K137" s="281"/>
      <c r="L137" s="283"/>
      <c r="M137" s="283"/>
      <c r="N137" s="283"/>
      <c r="O137" s="283"/>
    </row>
    <row r="138" spans="1:15" ht="15" customHeight="1">
      <c r="A138" s="272" t="s">
        <v>265</v>
      </c>
      <c r="B138" s="134">
        <v>42004010</v>
      </c>
      <c r="C138" s="313" t="s">
        <v>657</v>
      </c>
      <c r="D138" s="281">
        <v>3110.21</v>
      </c>
      <c r="E138" s="297"/>
      <c r="F138" s="281">
        <v>3080.69</v>
      </c>
      <c r="G138" s="304"/>
      <c r="H138" s="304"/>
      <c r="I138" s="304"/>
      <c r="J138" s="281"/>
      <c r="K138" s="281"/>
      <c r="L138" s="283"/>
      <c r="M138" s="283"/>
      <c r="N138" s="283"/>
      <c r="O138" s="283"/>
    </row>
    <row r="139" spans="1:15" ht="15" customHeight="1">
      <c r="A139" s="272" t="s">
        <v>265</v>
      </c>
      <c r="B139" s="134">
        <v>42004011</v>
      </c>
      <c r="C139" s="313" t="s">
        <v>658</v>
      </c>
      <c r="D139" s="281">
        <v>2913.78</v>
      </c>
      <c r="E139" s="297"/>
      <c r="F139" s="281">
        <v>2886.13</v>
      </c>
      <c r="I139" s="281"/>
      <c r="J139" s="281"/>
      <c r="K139" s="281"/>
      <c r="L139" s="283"/>
      <c r="M139" s="283"/>
      <c r="N139" s="283"/>
      <c r="O139" s="283"/>
    </row>
    <row r="140" spans="1:15" ht="15" customHeight="1">
      <c r="A140" s="272" t="s">
        <v>265</v>
      </c>
      <c r="B140" s="134">
        <v>42004008</v>
      </c>
      <c r="C140" s="313" t="s">
        <v>659</v>
      </c>
      <c r="D140" s="281">
        <v>2328.49</v>
      </c>
      <c r="E140" s="297"/>
      <c r="F140" s="281">
        <v>2306.39</v>
      </c>
      <c r="I140" s="281"/>
      <c r="J140" s="281"/>
      <c r="K140" s="281"/>
      <c r="L140" s="283"/>
      <c r="M140" s="283"/>
      <c r="N140" s="283"/>
      <c r="O140" s="283"/>
    </row>
    <row r="141" spans="1:15" ht="15" customHeight="1">
      <c r="A141" s="272" t="s">
        <v>265</v>
      </c>
      <c r="B141" s="134">
        <v>42004009</v>
      </c>
      <c r="C141" s="313" t="s">
        <v>660</v>
      </c>
      <c r="D141" s="281">
        <v>2223.39</v>
      </c>
      <c r="E141" s="297"/>
      <c r="F141" s="281">
        <v>2202.33</v>
      </c>
      <c r="I141" s="281"/>
      <c r="J141" s="281"/>
      <c r="K141" s="281"/>
      <c r="L141" s="283"/>
      <c r="M141" s="283"/>
      <c r="N141" s="283"/>
      <c r="O141" s="283"/>
    </row>
    <row r="142" spans="1:15" ht="15" customHeight="1">
      <c r="A142" s="272" t="s">
        <v>265</v>
      </c>
      <c r="B142" s="134">
        <v>42004004</v>
      </c>
      <c r="C142" s="313" t="s">
        <v>644</v>
      </c>
      <c r="D142" s="281">
        <v>2863.01</v>
      </c>
      <c r="E142" s="297"/>
      <c r="F142" s="281">
        <v>2835.82</v>
      </c>
      <c r="I142" s="281"/>
      <c r="J142" s="281"/>
      <c r="K142" s="281"/>
      <c r="L142" s="283"/>
      <c r="M142" s="283"/>
      <c r="N142" s="283"/>
      <c r="O142" s="283"/>
    </row>
    <row r="143" spans="1:15" ht="15" customHeight="1">
      <c r="A143" s="272" t="s">
        <v>265</v>
      </c>
      <c r="B143" s="134">
        <v>42004005</v>
      </c>
      <c r="C143" s="313" t="s">
        <v>661</v>
      </c>
      <c r="D143" s="281">
        <v>2547.42</v>
      </c>
      <c r="E143" s="297"/>
      <c r="F143" s="281">
        <v>2523.29</v>
      </c>
      <c r="I143" s="281"/>
      <c r="J143" s="281"/>
      <c r="K143" s="281"/>
      <c r="L143" s="283"/>
      <c r="M143" s="283"/>
      <c r="N143" s="283"/>
      <c r="O143" s="283"/>
    </row>
    <row r="144" spans="1:15" ht="15" customHeight="1">
      <c r="A144" s="272" t="s">
        <v>265</v>
      </c>
      <c r="B144" s="134">
        <v>42004006</v>
      </c>
      <c r="C144" s="313" t="s">
        <v>662</v>
      </c>
      <c r="D144" s="281">
        <v>2492.65</v>
      </c>
      <c r="E144" s="297"/>
      <c r="F144" s="281">
        <v>2469.01</v>
      </c>
      <c r="I144" s="281"/>
      <c r="J144" s="281"/>
      <c r="K144" s="281"/>
      <c r="L144" s="283"/>
      <c r="M144" s="283"/>
      <c r="N144" s="283"/>
      <c r="O144" s="283"/>
    </row>
    <row r="145" spans="1:15" ht="15" customHeight="1">
      <c r="A145" s="272" t="s">
        <v>265</v>
      </c>
      <c r="B145" s="134">
        <v>42007010</v>
      </c>
      <c r="C145" s="313" t="s">
        <v>663</v>
      </c>
      <c r="D145" s="281">
        <v>3110.21</v>
      </c>
      <c r="E145" s="297"/>
      <c r="F145" s="281">
        <v>3080.69</v>
      </c>
      <c r="I145" s="281"/>
      <c r="J145" s="281"/>
      <c r="K145" s="281"/>
      <c r="L145" s="283"/>
      <c r="M145" s="283"/>
      <c r="N145" s="283"/>
      <c r="O145" s="283"/>
    </row>
    <row r="146" spans="1:15" ht="15" customHeight="1">
      <c r="A146" s="272" t="s">
        <v>265</v>
      </c>
      <c r="B146" s="134">
        <v>42007011</v>
      </c>
      <c r="C146" s="313" t="s">
        <v>664</v>
      </c>
      <c r="D146" s="281">
        <v>2913.78</v>
      </c>
      <c r="E146" s="297"/>
      <c r="F146" s="281">
        <v>2886.13</v>
      </c>
      <c r="I146" s="281"/>
      <c r="J146" s="281"/>
      <c r="K146" s="281"/>
      <c r="L146" s="283"/>
      <c r="M146" s="283"/>
      <c r="N146" s="283"/>
      <c r="O146" s="283"/>
    </row>
    <row r="147" spans="1:15" ht="15" customHeight="1">
      <c r="A147" s="272" t="s">
        <v>265</v>
      </c>
      <c r="B147" s="134">
        <v>42007008</v>
      </c>
      <c r="C147" s="313" t="s">
        <v>665</v>
      </c>
      <c r="D147" s="281">
        <v>2328.49</v>
      </c>
      <c r="E147" s="297"/>
      <c r="F147" s="281">
        <v>2306.39</v>
      </c>
      <c r="I147" s="281"/>
      <c r="J147" s="281"/>
      <c r="K147" s="281"/>
      <c r="L147" s="283"/>
      <c r="M147" s="283"/>
      <c r="N147" s="283"/>
      <c r="O147" s="283"/>
    </row>
    <row r="148" spans="1:15" ht="15" customHeight="1">
      <c r="A148" s="272" t="s">
        <v>265</v>
      </c>
      <c r="B148" s="134">
        <v>42007009</v>
      </c>
      <c r="C148" s="313" t="s">
        <v>666</v>
      </c>
      <c r="D148" s="281">
        <v>2223.39</v>
      </c>
      <c r="E148" s="297"/>
      <c r="F148" s="281">
        <v>2202.33</v>
      </c>
      <c r="I148" s="281"/>
      <c r="J148" s="281"/>
      <c r="K148" s="281"/>
      <c r="L148" s="283"/>
      <c r="M148" s="283"/>
      <c r="N148" s="283"/>
      <c r="O148" s="283"/>
    </row>
    <row r="149" spans="1:15" ht="15" customHeight="1">
      <c r="A149" s="272" t="s">
        <v>265</v>
      </c>
      <c r="B149" s="134">
        <v>42007004</v>
      </c>
      <c r="C149" s="313" t="s">
        <v>634</v>
      </c>
      <c r="D149" s="281">
        <v>2863.01</v>
      </c>
      <c r="E149" s="297"/>
      <c r="F149" s="281">
        <v>2835.82</v>
      </c>
      <c r="I149" s="281"/>
      <c r="J149" s="281"/>
      <c r="K149" s="281"/>
      <c r="L149" s="283"/>
      <c r="M149" s="283"/>
      <c r="N149" s="283"/>
      <c r="O149" s="283"/>
    </row>
    <row r="150" spans="1:15" ht="15" customHeight="1">
      <c r="A150" s="272" t="s">
        <v>265</v>
      </c>
      <c r="B150" s="134">
        <v>42007005</v>
      </c>
      <c r="C150" s="313" t="s">
        <v>667</v>
      </c>
      <c r="D150" s="281">
        <v>2547.42</v>
      </c>
      <c r="E150" s="297"/>
      <c r="F150" s="281">
        <v>2523.29</v>
      </c>
      <c r="I150" s="281"/>
      <c r="J150" s="281"/>
      <c r="K150" s="281"/>
      <c r="L150" s="283"/>
      <c r="M150" s="283"/>
      <c r="N150" s="283"/>
      <c r="O150" s="283"/>
    </row>
    <row r="151" spans="1:15" ht="15" customHeight="1">
      <c r="A151" s="272" t="s">
        <v>265</v>
      </c>
      <c r="B151" s="134">
        <v>42007006</v>
      </c>
      <c r="C151" s="313" t="s">
        <v>668</v>
      </c>
      <c r="D151" s="281">
        <v>2492.65</v>
      </c>
      <c r="E151" s="297"/>
      <c r="F151" s="281">
        <v>2469.01</v>
      </c>
      <c r="I151" s="281"/>
      <c r="J151" s="281"/>
      <c r="K151" s="281"/>
      <c r="L151" s="283"/>
      <c r="M151" s="283"/>
      <c r="N151" s="283"/>
      <c r="O151" s="283"/>
    </row>
    <row r="152" spans="1:15" ht="15" customHeight="1">
      <c r="A152" s="272" t="s">
        <v>266</v>
      </c>
      <c r="B152" s="134">
        <v>40801002</v>
      </c>
      <c r="C152" s="293" t="s">
        <v>615</v>
      </c>
      <c r="D152" s="281">
        <v>3660.02</v>
      </c>
      <c r="E152" s="281">
        <v>4608.01</v>
      </c>
      <c r="F152" s="281">
        <v>3624.88</v>
      </c>
      <c r="G152" s="281">
        <v>4563.76</v>
      </c>
      <c r="H152" s="285"/>
      <c r="I152" s="285"/>
      <c r="J152" s="281"/>
      <c r="K152" s="281"/>
      <c r="L152" s="283"/>
      <c r="M152" s="283"/>
      <c r="N152" s="283"/>
      <c r="O152" s="283"/>
    </row>
    <row r="153" spans="1:15" ht="15" customHeight="1">
      <c r="A153" s="272" t="s">
        <v>266</v>
      </c>
      <c r="B153" s="134">
        <v>40802005</v>
      </c>
      <c r="C153" s="293" t="s">
        <v>677</v>
      </c>
      <c r="D153" s="281">
        <v>3293.58</v>
      </c>
      <c r="E153" s="281">
        <v>4071.77</v>
      </c>
      <c r="F153" s="281">
        <v>3261.94</v>
      </c>
      <c r="G153" s="281">
        <v>4032.69</v>
      </c>
      <c r="H153" s="279"/>
      <c r="I153" s="279"/>
      <c r="J153" s="281"/>
      <c r="K153" s="281"/>
      <c r="L153" s="283"/>
      <c r="M153" s="283"/>
      <c r="N153" s="283"/>
      <c r="O153" s="283"/>
    </row>
    <row r="154" spans="1:15" ht="15" customHeight="1">
      <c r="A154" s="272" t="s">
        <v>266</v>
      </c>
      <c r="B154" s="134">
        <v>40804012</v>
      </c>
      <c r="C154" s="293" t="s">
        <v>678</v>
      </c>
      <c r="D154" s="281">
        <v>2546.32</v>
      </c>
      <c r="E154" s="297"/>
      <c r="F154" s="281">
        <v>2522.09</v>
      </c>
      <c r="G154" s="326"/>
      <c r="H154" s="326"/>
      <c r="I154" s="326"/>
      <c r="J154" s="281"/>
      <c r="K154" s="281"/>
      <c r="L154" s="283"/>
      <c r="M154" s="283"/>
      <c r="N154" s="283"/>
      <c r="O154" s="283"/>
    </row>
    <row r="155" spans="1:15" ht="15" customHeight="1">
      <c r="A155" s="272" t="s">
        <v>266</v>
      </c>
      <c r="B155" s="134">
        <v>40804014</v>
      </c>
      <c r="C155" s="293" t="s">
        <v>679</v>
      </c>
      <c r="D155" s="281">
        <v>2479.69</v>
      </c>
      <c r="E155" s="297"/>
      <c r="F155" s="281">
        <v>2456.1</v>
      </c>
      <c r="G155" s="326"/>
      <c r="H155" s="326"/>
      <c r="I155" s="326"/>
      <c r="J155" s="281"/>
      <c r="K155" s="281"/>
      <c r="L155" s="283"/>
      <c r="M155" s="283"/>
      <c r="N155" s="283"/>
      <c r="O155" s="283"/>
    </row>
    <row r="156" spans="1:15" ht="15" customHeight="1">
      <c r="A156" s="272" t="s">
        <v>266</v>
      </c>
      <c r="B156" s="134">
        <v>40804013</v>
      </c>
      <c r="C156" s="293" t="s">
        <v>680</v>
      </c>
      <c r="D156" s="281">
        <v>2231.24</v>
      </c>
      <c r="E156" s="297"/>
      <c r="F156" s="281">
        <v>2209.99</v>
      </c>
      <c r="I156" s="281"/>
      <c r="J156" s="281"/>
      <c r="K156" s="281"/>
      <c r="L156" s="283"/>
      <c r="M156" s="283"/>
      <c r="N156" s="283"/>
      <c r="O156" s="283"/>
    </row>
    <row r="157" spans="1:15" ht="15" customHeight="1">
      <c r="A157" s="272" t="s">
        <v>266</v>
      </c>
      <c r="B157" s="134">
        <v>40804008</v>
      </c>
      <c r="C157" s="293" t="s">
        <v>681</v>
      </c>
      <c r="D157" s="281">
        <v>2546.32</v>
      </c>
      <c r="E157" s="297"/>
      <c r="F157" s="281">
        <v>2522.09</v>
      </c>
      <c r="I157" s="281"/>
      <c r="J157" s="281"/>
      <c r="K157" s="281"/>
      <c r="L157" s="283"/>
      <c r="M157" s="283"/>
      <c r="N157" s="283"/>
      <c r="O157" s="283"/>
    </row>
    <row r="158" spans="1:15" ht="15" customHeight="1">
      <c r="A158" s="272" t="s">
        <v>266</v>
      </c>
      <c r="B158" s="134">
        <v>40807026</v>
      </c>
      <c r="C158" s="293" t="s">
        <v>619</v>
      </c>
      <c r="D158" s="281">
        <v>2332.74</v>
      </c>
      <c r="E158" s="297"/>
      <c r="F158" s="281">
        <v>2310.52</v>
      </c>
      <c r="I158" s="281"/>
      <c r="J158" s="281"/>
      <c r="K158" s="281"/>
      <c r="L158" s="283"/>
      <c r="M158" s="283"/>
      <c r="N158" s="283"/>
      <c r="O158" s="283"/>
    </row>
    <row r="159" spans="1:15" ht="15" customHeight="1">
      <c r="A159" s="272" t="s">
        <v>266</v>
      </c>
      <c r="B159" s="134">
        <v>40807028</v>
      </c>
      <c r="C159" s="293" t="s">
        <v>682</v>
      </c>
      <c r="D159" s="281">
        <v>2286.27</v>
      </c>
      <c r="E159" s="297"/>
      <c r="F159" s="281">
        <v>2264.48</v>
      </c>
      <c r="I159" s="281"/>
      <c r="J159" s="281"/>
      <c r="K159" s="281"/>
      <c r="L159" s="283"/>
      <c r="M159" s="283"/>
      <c r="N159" s="283"/>
      <c r="O159" s="283"/>
    </row>
    <row r="160" spans="1:15" ht="15" customHeight="1">
      <c r="A160" s="272" t="s">
        <v>266</v>
      </c>
      <c r="B160" s="134">
        <v>40807027</v>
      </c>
      <c r="C160" s="293" t="s">
        <v>683</v>
      </c>
      <c r="D160" s="281">
        <v>2127.34</v>
      </c>
      <c r="E160" s="297"/>
      <c r="F160" s="281">
        <v>2107.11</v>
      </c>
      <c r="I160" s="281"/>
      <c r="J160" s="281"/>
      <c r="K160" s="281"/>
      <c r="L160" s="283"/>
      <c r="M160" s="283"/>
      <c r="N160" s="283"/>
      <c r="O160" s="283"/>
    </row>
    <row r="161" spans="1:15" ht="15" customHeight="1">
      <c r="A161" s="272" t="s">
        <v>267</v>
      </c>
      <c r="B161" s="134">
        <v>40501001</v>
      </c>
      <c r="C161" s="293" t="s">
        <v>684</v>
      </c>
      <c r="D161" s="281">
        <v>3196.38</v>
      </c>
      <c r="E161" s="281">
        <v>3726.78</v>
      </c>
      <c r="F161" s="281">
        <v>3171.95</v>
      </c>
      <c r="G161" s="281">
        <v>3691.09</v>
      </c>
      <c r="H161" s="285"/>
      <c r="I161" s="285"/>
      <c r="J161" s="281"/>
      <c r="K161" s="281"/>
      <c r="L161" s="283"/>
      <c r="M161" s="283"/>
      <c r="N161" s="283"/>
      <c r="O161" s="283"/>
    </row>
    <row r="162" spans="1:15" ht="15" customHeight="1">
      <c r="A162" s="272" t="s">
        <v>267</v>
      </c>
      <c r="B162" s="134">
        <v>40501002</v>
      </c>
      <c r="C162" s="313" t="s">
        <v>685</v>
      </c>
      <c r="D162" s="281">
        <v>3196.38</v>
      </c>
      <c r="E162" s="281">
        <v>3726.78</v>
      </c>
      <c r="F162" s="281">
        <v>3171.95</v>
      </c>
      <c r="G162" s="281">
        <v>3691.09</v>
      </c>
      <c r="H162" s="279"/>
      <c r="I162" s="279"/>
      <c r="J162" s="281"/>
      <c r="K162" s="281"/>
      <c r="L162" s="283"/>
      <c r="M162" s="283"/>
      <c r="N162" s="283"/>
      <c r="O162" s="283"/>
    </row>
    <row r="163" spans="1:15" ht="15" customHeight="1">
      <c r="A163" s="272" t="s">
        <v>267</v>
      </c>
      <c r="B163" s="134">
        <v>40504004</v>
      </c>
      <c r="C163" s="293" t="s">
        <v>686</v>
      </c>
      <c r="D163" s="281">
        <v>2170.19</v>
      </c>
      <c r="E163" s="281">
        <v>2461.78</v>
      </c>
      <c r="F163" s="281">
        <v>2150.65</v>
      </c>
      <c r="G163" s="281">
        <v>2438.24</v>
      </c>
      <c r="H163" s="290"/>
      <c r="I163" s="281"/>
      <c r="J163" s="281"/>
      <c r="K163" s="281"/>
      <c r="L163" s="283"/>
      <c r="M163" s="283"/>
      <c r="N163" s="283"/>
      <c r="O163" s="283"/>
    </row>
    <row r="164" spans="1:15" ht="15" customHeight="1">
      <c r="A164" s="272" t="s">
        <v>267</v>
      </c>
      <c r="B164" s="134">
        <v>40504005</v>
      </c>
      <c r="C164" s="293" t="s">
        <v>687</v>
      </c>
      <c r="D164" s="281">
        <v>2252.84</v>
      </c>
      <c r="E164" s="281">
        <v>2598.62</v>
      </c>
      <c r="F164" s="281">
        <v>2232.37</v>
      </c>
      <c r="G164" s="281">
        <v>2573.76</v>
      </c>
      <c r="H164" s="290"/>
      <c r="I164" s="281"/>
      <c r="J164" s="281"/>
      <c r="K164" s="281"/>
      <c r="L164" s="283"/>
      <c r="M164" s="283"/>
      <c r="N164" s="283"/>
      <c r="O164" s="283"/>
    </row>
    <row r="165" spans="1:15" ht="15" customHeight="1">
      <c r="A165" s="272" t="s">
        <v>269</v>
      </c>
      <c r="B165" s="134">
        <v>40601001</v>
      </c>
      <c r="C165" s="293" t="s">
        <v>615</v>
      </c>
      <c r="D165" s="281">
        <v>3626.25</v>
      </c>
      <c r="E165" s="281">
        <v>4379.24</v>
      </c>
      <c r="F165" s="281">
        <v>3591.54</v>
      </c>
      <c r="G165" s="281">
        <v>4338.85</v>
      </c>
      <c r="H165" s="285"/>
      <c r="I165" s="285"/>
      <c r="J165" s="281"/>
      <c r="K165" s="281"/>
      <c r="L165" s="283"/>
      <c r="M165" s="283"/>
      <c r="N165" s="283"/>
      <c r="O165" s="283"/>
    </row>
    <row r="166" spans="1:15" ht="15" customHeight="1">
      <c r="A166" s="272" t="s">
        <v>269</v>
      </c>
      <c r="B166" s="134">
        <v>40602002</v>
      </c>
      <c r="C166" s="293" t="s">
        <v>677</v>
      </c>
      <c r="D166" s="281">
        <v>3070.06</v>
      </c>
      <c r="E166" s="281">
        <v>3880.3</v>
      </c>
      <c r="F166" s="281">
        <v>3040.68</v>
      </c>
      <c r="G166" s="281">
        <v>3843.18</v>
      </c>
      <c r="H166" s="279"/>
      <c r="I166" s="279"/>
      <c r="J166" s="281"/>
      <c r="K166" s="281"/>
      <c r="L166" s="283"/>
      <c r="M166" s="283"/>
      <c r="N166" s="283"/>
      <c r="O166" s="283"/>
    </row>
    <row r="167" spans="1:15" ht="15" customHeight="1">
      <c r="A167" s="272" t="s">
        <v>269</v>
      </c>
      <c r="B167" s="134">
        <v>40604008</v>
      </c>
      <c r="C167" s="293" t="s">
        <v>678</v>
      </c>
      <c r="D167" s="281">
        <v>2557.59</v>
      </c>
      <c r="E167" s="297"/>
      <c r="F167" s="281">
        <v>2533.35</v>
      </c>
      <c r="G167" s="297"/>
      <c r="H167" s="290"/>
      <c r="I167" s="281"/>
      <c r="J167" s="281"/>
      <c r="K167" s="281"/>
      <c r="L167" s="283"/>
      <c r="M167" s="283"/>
      <c r="N167" s="283"/>
      <c r="O167" s="283"/>
    </row>
    <row r="168" spans="1:15" ht="15" customHeight="1">
      <c r="A168" s="272" t="s">
        <v>269</v>
      </c>
      <c r="B168" s="134">
        <v>40604009</v>
      </c>
      <c r="C168" s="293" t="s">
        <v>688</v>
      </c>
      <c r="D168" s="281">
        <v>2301.21</v>
      </c>
      <c r="E168" s="292"/>
      <c r="F168" s="281">
        <v>2279.42</v>
      </c>
      <c r="G168" s="281"/>
      <c r="H168" s="290"/>
      <c r="I168" s="281"/>
      <c r="J168" s="281"/>
      <c r="K168" s="281"/>
      <c r="L168" s="283"/>
      <c r="M168" s="283"/>
      <c r="N168" s="283"/>
      <c r="O168" s="283"/>
    </row>
    <row r="169" spans="1:15" ht="15" customHeight="1">
      <c r="A169" s="272" t="s">
        <v>269</v>
      </c>
      <c r="B169" s="134">
        <v>40604006</v>
      </c>
      <c r="C169" s="293" t="s">
        <v>689</v>
      </c>
      <c r="D169" s="281">
        <v>2831.6</v>
      </c>
      <c r="E169" s="281">
        <v>3142.51</v>
      </c>
      <c r="F169" s="329"/>
      <c r="G169" s="295"/>
      <c r="H169" s="296"/>
      <c r="I169" s="281"/>
      <c r="J169" s="281"/>
      <c r="K169" s="281"/>
      <c r="L169" s="283"/>
      <c r="M169" s="283"/>
      <c r="N169" s="283"/>
      <c r="O169" s="283"/>
    </row>
    <row r="170" spans="1:15" ht="15" customHeight="1">
      <c r="A170" s="272" t="s">
        <v>269</v>
      </c>
      <c r="B170" s="134">
        <v>40604007</v>
      </c>
      <c r="C170" s="293" t="s">
        <v>690</v>
      </c>
      <c r="D170" s="281">
        <v>2561.03</v>
      </c>
      <c r="E170" s="281">
        <v>2786.94</v>
      </c>
      <c r="F170" s="329"/>
      <c r="G170" s="295"/>
      <c r="H170" s="296"/>
      <c r="I170" s="281"/>
      <c r="J170" s="281"/>
      <c r="K170" s="281"/>
      <c r="L170" s="283"/>
      <c r="M170" s="283"/>
      <c r="N170" s="283"/>
      <c r="O170" s="283"/>
    </row>
    <row r="171" spans="1:15" ht="15" customHeight="1">
      <c r="A171" s="272" t="s">
        <v>271</v>
      </c>
      <c r="B171" s="134">
        <v>40701011</v>
      </c>
      <c r="C171" s="293" t="s">
        <v>615</v>
      </c>
      <c r="D171" s="281">
        <v>3524.68</v>
      </c>
      <c r="E171" s="281">
        <v>4214.73</v>
      </c>
      <c r="F171" s="281">
        <v>3490.96</v>
      </c>
      <c r="G171" s="281">
        <v>4159.62</v>
      </c>
      <c r="H171" s="285"/>
      <c r="I171" s="285"/>
      <c r="J171" s="281"/>
      <c r="K171" s="281"/>
      <c r="L171" s="283"/>
      <c r="M171" s="283"/>
      <c r="N171" s="283"/>
      <c r="O171" s="283"/>
    </row>
    <row r="172" spans="1:15" ht="15" customHeight="1">
      <c r="A172" s="272" t="s">
        <v>271</v>
      </c>
      <c r="B172" s="134">
        <v>40704013</v>
      </c>
      <c r="C172" s="293" t="s">
        <v>678</v>
      </c>
      <c r="D172" s="281">
        <v>2526.89</v>
      </c>
      <c r="E172" s="329"/>
      <c r="F172" s="281">
        <v>2502.95</v>
      </c>
      <c r="G172" s="295"/>
      <c r="H172" s="279"/>
      <c r="I172" s="279"/>
      <c r="J172" s="281"/>
      <c r="K172" s="281"/>
      <c r="L172" s="283"/>
      <c r="M172" s="283"/>
      <c r="N172" s="283"/>
      <c r="O172" s="283"/>
    </row>
    <row r="173" spans="1:15" ht="15" customHeight="1">
      <c r="A173" s="272" t="s">
        <v>271</v>
      </c>
      <c r="B173" s="134">
        <v>40704014</v>
      </c>
      <c r="C173" s="293" t="s">
        <v>691</v>
      </c>
      <c r="D173" s="281">
        <v>2292.06</v>
      </c>
      <c r="E173" s="329"/>
      <c r="F173" s="281">
        <v>2270.31</v>
      </c>
      <c r="G173" s="295"/>
      <c r="H173" s="290"/>
      <c r="I173" s="281"/>
      <c r="J173" s="281"/>
      <c r="K173" s="281"/>
      <c r="L173" s="283"/>
      <c r="M173" s="283"/>
      <c r="N173" s="283"/>
      <c r="O173" s="283"/>
    </row>
    <row r="174" spans="1:15" ht="15" customHeight="1">
      <c r="A174" s="272" t="s">
        <v>271</v>
      </c>
      <c r="B174" s="134">
        <v>40704021</v>
      </c>
      <c r="C174" s="293" t="s">
        <v>692</v>
      </c>
      <c r="D174" s="281">
        <v>3234.96</v>
      </c>
      <c r="E174" s="329"/>
      <c r="F174" s="281">
        <v>3204.28</v>
      </c>
      <c r="G174" s="295"/>
      <c r="H174" s="296"/>
      <c r="I174" s="281"/>
      <c r="J174" s="281"/>
      <c r="K174" s="281"/>
      <c r="L174" s="283"/>
      <c r="M174" s="283"/>
      <c r="N174" s="283"/>
      <c r="O174" s="283"/>
    </row>
    <row r="175" spans="1:15" ht="15" customHeight="1">
      <c r="A175" s="272" t="s">
        <v>271</v>
      </c>
      <c r="B175" s="134">
        <v>40704022</v>
      </c>
      <c r="C175" s="293" t="s">
        <v>693</v>
      </c>
      <c r="D175" s="281">
        <v>3153.96</v>
      </c>
      <c r="E175" s="329"/>
      <c r="F175" s="281">
        <v>3124.03</v>
      </c>
      <c r="G175" s="295"/>
      <c r="H175" s="296"/>
      <c r="I175" s="281"/>
      <c r="J175" s="281"/>
      <c r="K175" s="281"/>
      <c r="L175" s="283"/>
      <c r="M175" s="283"/>
      <c r="N175" s="283"/>
      <c r="O175" s="283"/>
    </row>
    <row r="176" spans="1:15" ht="15" customHeight="1">
      <c r="A176" s="272" t="s">
        <v>271</v>
      </c>
      <c r="B176" s="134">
        <v>40704023</v>
      </c>
      <c r="C176" s="293" t="s">
        <v>694</v>
      </c>
      <c r="D176" s="281">
        <v>2707.9</v>
      </c>
      <c r="E176" s="329"/>
      <c r="F176" s="281">
        <v>2682.21</v>
      </c>
      <c r="G176" s="300"/>
      <c r="H176" s="296"/>
      <c r="I176" s="281"/>
      <c r="J176" s="281"/>
      <c r="K176" s="281"/>
      <c r="L176" s="283"/>
      <c r="M176" s="283"/>
      <c r="N176" s="283"/>
      <c r="O176" s="283"/>
    </row>
    <row r="177" spans="3:15" ht="15" customHeight="1">
      <c r="C177" s="302"/>
      <c r="D177" s="281"/>
      <c r="E177" s="290"/>
      <c r="F177" s="281"/>
      <c r="G177" s="296"/>
      <c r="H177" s="296"/>
      <c r="I177" s="281"/>
      <c r="J177" s="281"/>
      <c r="K177" s="281"/>
      <c r="L177" s="283"/>
      <c r="M177" s="283"/>
      <c r="N177" s="283"/>
      <c r="O177" s="283"/>
    </row>
    <row r="178" spans="2:15" ht="15" customHeight="1">
      <c r="B178" s="132"/>
      <c r="C178" s="305"/>
      <c r="D178" s="310"/>
      <c r="F178" s="310"/>
      <c r="I178" s="281"/>
      <c r="J178" s="281"/>
      <c r="K178" s="281"/>
      <c r="L178" s="283"/>
      <c r="M178" s="283"/>
      <c r="N178" s="283"/>
      <c r="O178" s="283"/>
    </row>
    <row r="179" spans="1:15" ht="15" customHeight="1">
      <c r="A179" s="311" t="s">
        <v>669</v>
      </c>
      <c r="B179" s="129"/>
      <c r="C179" s="305"/>
      <c r="D179" s="310"/>
      <c r="F179" s="310"/>
      <c r="I179" s="281"/>
      <c r="J179" s="281"/>
      <c r="K179" s="281"/>
      <c r="L179" s="283"/>
      <c r="M179" s="283"/>
      <c r="N179" s="283"/>
      <c r="O179" s="283"/>
    </row>
    <row r="180" spans="2:15" ht="15" customHeight="1">
      <c r="B180" s="132"/>
      <c r="C180" s="305"/>
      <c r="D180" s="272"/>
      <c r="E180" s="272"/>
      <c r="F180" s="272"/>
      <c r="G180" s="272"/>
      <c r="H180" s="272"/>
      <c r="I180" s="272"/>
      <c r="J180" s="272"/>
      <c r="N180" s="283"/>
      <c r="O180" s="283"/>
    </row>
    <row r="181" spans="1:25" ht="15" customHeight="1">
      <c r="A181" s="311" t="s">
        <v>670</v>
      </c>
      <c r="B181" s="25"/>
      <c r="C181" s="272"/>
      <c r="D181" s="272"/>
      <c r="E181" s="272"/>
      <c r="F181" s="272"/>
      <c r="G181" s="272"/>
      <c r="H181" s="272"/>
      <c r="I181" s="272"/>
      <c r="J181" s="272"/>
      <c r="N181" s="25"/>
      <c r="O181" s="189"/>
      <c r="P181" s="189"/>
      <c r="Q181" s="189"/>
      <c r="R181" s="189"/>
      <c r="S181" s="189"/>
      <c r="T181" s="189"/>
      <c r="U181" s="189"/>
      <c r="V181" s="331"/>
      <c r="W181" s="331"/>
      <c r="X181" s="331"/>
      <c r="Y181" s="331"/>
    </row>
    <row r="182" spans="3:25" ht="15" customHeight="1">
      <c r="C182" s="272"/>
      <c r="D182" s="310" t="s">
        <v>696</v>
      </c>
      <c r="E182" s="270" t="s">
        <v>227</v>
      </c>
      <c r="F182" s="310" t="s">
        <v>697</v>
      </c>
      <c r="G182" s="271" t="s">
        <v>154</v>
      </c>
      <c r="H182" s="271" t="s">
        <v>156</v>
      </c>
      <c r="I182" s="272" t="s">
        <v>156</v>
      </c>
      <c r="J182" s="281" t="s">
        <v>157</v>
      </c>
      <c r="K182" s="281" t="s">
        <v>157</v>
      </c>
      <c r="L182" s="281" t="s">
        <v>158</v>
      </c>
      <c r="M182" s="283" t="s">
        <v>158</v>
      </c>
      <c r="N182" s="136"/>
      <c r="O182" s="136"/>
      <c r="P182" s="25"/>
      <c r="Q182" s="301"/>
      <c r="R182" s="332"/>
      <c r="S182" s="290"/>
      <c r="T182" s="290"/>
      <c r="U182" s="290"/>
      <c r="V182" s="296"/>
      <c r="W182" s="25"/>
      <c r="X182" s="331"/>
      <c r="Y182" s="331"/>
    </row>
    <row r="183" spans="3:25" ht="15" customHeight="1">
      <c r="C183" s="272"/>
      <c r="D183" s="320" t="s">
        <v>672</v>
      </c>
      <c r="E183" s="306" t="s">
        <v>673</v>
      </c>
      <c r="F183" s="310"/>
      <c r="I183" s="325"/>
      <c r="J183" s="136"/>
      <c r="K183" s="136"/>
      <c r="L183" s="136"/>
      <c r="M183" s="136"/>
      <c r="N183" s="136"/>
      <c r="O183" s="136"/>
      <c r="P183" s="25"/>
      <c r="Q183" s="301"/>
      <c r="R183" s="332"/>
      <c r="S183" s="333"/>
      <c r="T183" s="290"/>
      <c r="U183" s="290"/>
      <c r="V183" s="296"/>
      <c r="W183" s="25"/>
      <c r="X183" s="331"/>
      <c r="Y183" s="331"/>
    </row>
    <row r="184" spans="1:25" ht="15" customHeight="1">
      <c r="A184" s="272" t="s">
        <v>230</v>
      </c>
      <c r="B184" s="134">
        <v>43004004</v>
      </c>
      <c r="C184" s="324" t="s">
        <v>671</v>
      </c>
      <c r="D184" s="316">
        <v>3781.76</v>
      </c>
      <c r="E184" s="316">
        <v>4440.16</v>
      </c>
      <c r="F184" s="316">
        <v>3970.85</v>
      </c>
      <c r="G184" s="316">
        <v>4629.27</v>
      </c>
      <c r="H184" s="316">
        <v>4169.39</v>
      </c>
      <c r="I184" s="316">
        <v>4827.82</v>
      </c>
      <c r="J184" s="316">
        <v>4377.87</v>
      </c>
      <c r="K184" s="316">
        <v>5036.26</v>
      </c>
      <c r="L184" s="316">
        <v>4552.99</v>
      </c>
      <c r="M184" s="316">
        <v>5211.4</v>
      </c>
      <c r="N184" s="136"/>
      <c r="O184" s="136"/>
      <c r="P184" s="25"/>
      <c r="Q184" s="301"/>
      <c r="R184" s="332"/>
      <c r="S184" s="281"/>
      <c r="T184" s="303"/>
      <c r="U184" s="290"/>
      <c r="V184" s="296"/>
      <c r="W184" s="25"/>
      <c r="X184" s="331"/>
      <c r="Y184" s="331"/>
    </row>
    <row r="185" spans="1:25" ht="15" customHeight="1">
      <c r="A185" s="272" t="s">
        <v>230</v>
      </c>
      <c r="B185" s="134">
        <v>43004005</v>
      </c>
      <c r="C185" s="293" t="s">
        <v>674</v>
      </c>
      <c r="D185" s="316">
        <v>3557.45</v>
      </c>
      <c r="E185" s="316">
        <v>4077.87</v>
      </c>
      <c r="F185" s="316">
        <v>3735.32</v>
      </c>
      <c r="G185" s="316">
        <v>4255.74</v>
      </c>
      <c r="H185" s="316">
        <v>3922.08</v>
      </c>
      <c r="I185" s="316">
        <v>4442.5</v>
      </c>
      <c r="J185" s="316">
        <v>4118.18</v>
      </c>
      <c r="K185" s="316">
        <v>4638.59</v>
      </c>
      <c r="L185" s="316">
        <v>4282.93</v>
      </c>
      <c r="M185" s="316">
        <v>4803.34</v>
      </c>
      <c r="N185" s="136"/>
      <c r="O185" s="136"/>
      <c r="P185" s="25"/>
      <c r="Q185" s="301"/>
      <c r="R185" s="332"/>
      <c r="S185" s="290"/>
      <c r="T185" s="290"/>
      <c r="U185" s="290"/>
      <c r="V185" s="296"/>
      <c r="W185" s="25"/>
      <c r="X185" s="331"/>
      <c r="Y185" s="331"/>
    </row>
    <row r="186" spans="1:23" s="331" customFormat="1" ht="15" customHeight="1">
      <c r="A186" s="272" t="s">
        <v>230</v>
      </c>
      <c r="B186" s="134">
        <v>43004006</v>
      </c>
      <c r="C186" s="324" t="s">
        <v>675</v>
      </c>
      <c r="D186" s="316">
        <v>3089.18</v>
      </c>
      <c r="E186" s="316">
        <v>3543.66</v>
      </c>
      <c r="F186" s="316">
        <v>3243.63</v>
      </c>
      <c r="G186" s="316">
        <v>3698.1</v>
      </c>
      <c r="H186" s="316">
        <v>3405.81</v>
      </c>
      <c r="I186" s="316">
        <v>3860.3</v>
      </c>
      <c r="J186" s="316">
        <v>3576.1</v>
      </c>
      <c r="K186" s="316">
        <v>4030.57</v>
      </c>
      <c r="L186" s="316">
        <v>3719.14</v>
      </c>
      <c r="M186" s="316">
        <v>4173.62</v>
      </c>
      <c r="N186" s="136"/>
      <c r="O186" s="136"/>
      <c r="P186" s="25"/>
      <c r="Q186" s="301"/>
      <c r="R186" s="332"/>
      <c r="S186" s="290"/>
      <c r="T186" s="290"/>
      <c r="U186" s="290"/>
      <c r="V186" s="296"/>
      <c r="W186" s="25"/>
    </row>
    <row r="187" spans="1:23" s="331" customFormat="1" ht="15" customHeight="1">
      <c r="A187" s="272" t="s">
        <v>230</v>
      </c>
      <c r="B187" s="134">
        <v>43004007</v>
      </c>
      <c r="C187" s="302" t="s">
        <v>676</v>
      </c>
      <c r="D187" s="316">
        <v>2860.07</v>
      </c>
      <c r="E187" s="316">
        <v>3226.78</v>
      </c>
      <c r="F187" s="316">
        <v>3003.08</v>
      </c>
      <c r="G187" s="316">
        <v>3369.78</v>
      </c>
      <c r="H187" s="316">
        <v>3153.24</v>
      </c>
      <c r="I187" s="316">
        <v>3519.96</v>
      </c>
      <c r="J187" s="316">
        <v>3310.91</v>
      </c>
      <c r="K187" s="316">
        <v>3677.59</v>
      </c>
      <c r="L187" s="316">
        <v>3443.34</v>
      </c>
      <c r="M187" s="316">
        <v>3810.04</v>
      </c>
      <c r="N187" s="136"/>
      <c r="O187" s="136"/>
      <c r="P187" s="25"/>
      <c r="Q187" s="301"/>
      <c r="R187" s="332"/>
      <c r="S187" s="307"/>
      <c r="T187" s="290"/>
      <c r="U187" s="307"/>
      <c r="V187" s="296"/>
      <c r="W187" s="25"/>
    </row>
    <row r="188" spans="2:21" s="331" customFormat="1" ht="15" customHeight="1">
      <c r="B188" s="25"/>
      <c r="C188" s="302"/>
      <c r="F188" s="290"/>
      <c r="G188" s="296"/>
      <c r="H188" s="296"/>
      <c r="I188" s="281"/>
      <c r="J188" s="136"/>
      <c r="K188" s="136"/>
      <c r="L188" s="136"/>
      <c r="M188" s="136"/>
      <c r="N188" s="189"/>
      <c r="O188" s="189"/>
      <c r="P188" s="189"/>
      <c r="Q188" s="189"/>
      <c r="R188" s="189"/>
      <c r="S188" s="189"/>
      <c r="T188" s="189"/>
      <c r="U188" s="189"/>
    </row>
    <row r="189" spans="1:15" s="331" customFormat="1" ht="15" customHeight="1">
      <c r="A189" s="132" t="s">
        <v>545</v>
      </c>
      <c r="B189" s="25"/>
      <c r="C189" s="302"/>
      <c r="F189" s="290"/>
      <c r="G189" s="296"/>
      <c r="H189" s="296"/>
      <c r="I189" s="281"/>
      <c r="J189" s="281"/>
      <c r="K189" s="281"/>
      <c r="L189" s="334"/>
      <c r="M189" s="334"/>
      <c r="N189" s="334"/>
      <c r="O189" s="334"/>
    </row>
    <row r="190" spans="2:20" s="331" customFormat="1" ht="15" customHeight="1">
      <c r="B190" s="1"/>
      <c r="C190" s="302"/>
      <c r="D190" s="264" t="s">
        <v>236</v>
      </c>
      <c r="E190" s="264" t="s">
        <v>236</v>
      </c>
      <c r="F190" s="263" t="s">
        <v>236</v>
      </c>
      <c r="G190" s="263" t="s">
        <v>236</v>
      </c>
      <c r="H190" s="263" t="s">
        <v>236</v>
      </c>
      <c r="I190" s="263" t="s">
        <v>236</v>
      </c>
      <c r="J190" s="265" t="s">
        <v>237</v>
      </c>
      <c r="K190" s="265" t="s">
        <v>237</v>
      </c>
      <c r="L190" s="265" t="s">
        <v>237</v>
      </c>
      <c r="M190" s="265" t="s">
        <v>237</v>
      </c>
      <c r="N190" s="265" t="s">
        <v>237</v>
      </c>
      <c r="O190" s="265" t="s">
        <v>237</v>
      </c>
      <c r="P190" s="309"/>
      <c r="Q190" s="314"/>
      <c r="R190" s="281"/>
      <c r="S190" s="291"/>
      <c r="T190" s="281"/>
    </row>
    <row r="191" spans="2:20" s="331" customFormat="1" ht="15" customHeight="1">
      <c r="B191" s="1"/>
      <c r="C191" s="302"/>
      <c r="D191" s="264" t="s">
        <v>224</v>
      </c>
      <c r="E191" s="264" t="s">
        <v>501</v>
      </c>
      <c r="F191" s="263" t="s">
        <v>500</v>
      </c>
      <c r="G191" s="263" t="s">
        <v>225</v>
      </c>
      <c r="H191" s="263" t="s">
        <v>226</v>
      </c>
      <c r="I191" s="263" t="s">
        <v>502</v>
      </c>
      <c r="J191" s="265" t="s">
        <v>224</v>
      </c>
      <c r="K191" s="265" t="s">
        <v>501</v>
      </c>
      <c r="L191" s="265" t="s">
        <v>500</v>
      </c>
      <c r="M191" s="265" t="s">
        <v>225</v>
      </c>
      <c r="N191" s="265" t="s">
        <v>226</v>
      </c>
      <c r="O191" s="265" t="s">
        <v>502</v>
      </c>
      <c r="P191" s="323"/>
      <c r="Q191" s="315"/>
      <c r="R191" s="297"/>
      <c r="S191" s="297"/>
      <c r="T191" s="297"/>
    </row>
    <row r="192" spans="1:20" s="331" customFormat="1" ht="15" customHeight="1">
      <c r="A192" s="1" t="s">
        <v>534</v>
      </c>
      <c r="B192" s="1" t="s">
        <v>535</v>
      </c>
      <c r="C192" s="315" t="s">
        <v>617</v>
      </c>
      <c r="D192" s="281">
        <v>3221.92</v>
      </c>
      <c r="E192" s="281">
        <v>3286.35</v>
      </c>
      <c r="F192" s="281">
        <v>3384.94</v>
      </c>
      <c r="G192" s="281">
        <v>3554.18</v>
      </c>
      <c r="H192" s="281">
        <v>3836.97</v>
      </c>
      <c r="I192" s="281">
        <v>3990.45</v>
      </c>
      <c r="J192" s="281">
        <v>3190.67</v>
      </c>
      <c r="K192" s="281">
        <v>3254.47</v>
      </c>
      <c r="L192" s="281">
        <v>3352.12</v>
      </c>
      <c r="M192" s="281">
        <v>3519.72</v>
      </c>
      <c r="N192" s="281">
        <v>3799.75</v>
      </c>
      <c r="O192" s="281">
        <v>3951.74</v>
      </c>
      <c r="P192" s="309"/>
      <c r="Q192" s="315"/>
      <c r="R192" s="281"/>
      <c r="S192" s="297"/>
      <c r="T192" s="281"/>
    </row>
    <row r="193" spans="1:20" s="331" customFormat="1" ht="15" customHeight="1">
      <c r="A193" s="1" t="s">
        <v>534</v>
      </c>
      <c r="B193" s="1" t="s">
        <v>536</v>
      </c>
      <c r="C193" s="313" t="s">
        <v>259</v>
      </c>
      <c r="D193" s="281">
        <v>3129.24</v>
      </c>
      <c r="E193" s="281">
        <v>3191.82</v>
      </c>
      <c r="F193" s="281">
        <v>3287.57</v>
      </c>
      <c r="G193" s="281">
        <v>3451.94</v>
      </c>
      <c r="H193" s="281">
        <v>3726.61</v>
      </c>
      <c r="I193" s="281">
        <v>3875.66</v>
      </c>
      <c r="J193" s="281">
        <v>3099.09</v>
      </c>
      <c r="K193" s="281">
        <v>3161.07</v>
      </c>
      <c r="L193" s="281">
        <v>3255.91</v>
      </c>
      <c r="M193" s="281">
        <v>3418.72</v>
      </c>
      <c r="N193" s="281">
        <v>3690.7</v>
      </c>
      <c r="O193" s="281">
        <v>3838.33</v>
      </c>
      <c r="P193" s="309"/>
      <c r="Q193" s="313"/>
      <c r="R193" s="281"/>
      <c r="S193" s="297"/>
      <c r="T193" s="281"/>
    </row>
    <row r="194" spans="1:20" s="331" customFormat="1" ht="15" customHeight="1">
      <c r="A194" s="1" t="s">
        <v>534</v>
      </c>
      <c r="B194" s="1" t="s">
        <v>537</v>
      </c>
      <c r="C194" s="314" t="s">
        <v>618</v>
      </c>
      <c r="D194" s="281">
        <v>3415.28</v>
      </c>
      <c r="E194" s="281">
        <v>3604.19</v>
      </c>
      <c r="F194" s="281">
        <v>3737.69</v>
      </c>
      <c r="G194" s="281">
        <v>3945.95</v>
      </c>
      <c r="H194" s="281">
        <v>4166.7</v>
      </c>
      <c r="I194" s="281">
        <v>4400.71</v>
      </c>
      <c r="J194" s="281">
        <v>3382.85</v>
      </c>
      <c r="K194" s="281">
        <v>3569.98</v>
      </c>
      <c r="L194" s="281">
        <v>3702.21</v>
      </c>
      <c r="M194" s="281">
        <v>3908.5</v>
      </c>
      <c r="N194" s="281">
        <v>4127.15</v>
      </c>
      <c r="O194" s="281">
        <v>4358.94</v>
      </c>
      <c r="P194" s="309"/>
      <c r="Q194" s="313"/>
      <c r="R194" s="281"/>
      <c r="S194" s="297"/>
      <c r="T194" s="281"/>
    </row>
    <row r="195" spans="1:20" s="331" customFormat="1" ht="15" customHeight="1">
      <c r="A195" s="1" t="s">
        <v>534</v>
      </c>
      <c r="B195" s="1" t="s">
        <v>538</v>
      </c>
      <c r="C195" s="315" t="s">
        <v>619</v>
      </c>
      <c r="D195" s="281">
        <v>3415.28</v>
      </c>
      <c r="E195" s="281">
        <v>3604.19</v>
      </c>
      <c r="F195" s="281">
        <v>3737.69</v>
      </c>
      <c r="G195" s="281">
        <v>3945.95</v>
      </c>
      <c r="H195" s="281">
        <v>4166.7</v>
      </c>
      <c r="I195" s="281">
        <v>4400.71</v>
      </c>
      <c r="J195" s="281">
        <v>3382.85</v>
      </c>
      <c r="K195" s="281">
        <v>3569.98</v>
      </c>
      <c r="L195" s="281">
        <v>3702.21</v>
      </c>
      <c r="M195" s="281">
        <v>3908.5</v>
      </c>
      <c r="N195" s="281">
        <v>4127.15</v>
      </c>
      <c r="O195" s="281">
        <v>4358.94</v>
      </c>
      <c r="P195" s="309"/>
      <c r="Q195" s="313"/>
      <c r="R195" s="281"/>
      <c r="S195" s="297"/>
      <c r="T195" s="281"/>
    </row>
    <row r="196" spans="1:20" s="331" customFormat="1" ht="15" customHeight="1">
      <c r="A196" s="1" t="s">
        <v>534</v>
      </c>
      <c r="B196" s="1" t="s">
        <v>539</v>
      </c>
      <c r="C196" s="314" t="s">
        <v>620</v>
      </c>
      <c r="D196" s="281">
        <v>2974.06</v>
      </c>
      <c r="E196" s="281">
        <v>3138.57</v>
      </c>
      <c r="F196" s="281">
        <v>3254.83</v>
      </c>
      <c r="G196" s="281">
        <v>3436.18</v>
      </c>
      <c r="H196" s="281">
        <v>3628.42</v>
      </c>
      <c r="I196" s="281">
        <v>3832.19</v>
      </c>
      <c r="J196" s="281">
        <v>2945.84</v>
      </c>
      <c r="K196" s="281">
        <v>3108.78</v>
      </c>
      <c r="L196" s="281">
        <v>3223.93</v>
      </c>
      <c r="M196" s="281">
        <v>3403.57</v>
      </c>
      <c r="N196" s="281">
        <v>3593.99</v>
      </c>
      <c r="O196" s="281">
        <v>3795.82</v>
      </c>
      <c r="P196" s="309"/>
      <c r="Q196" s="313"/>
      <c r="R196" s="281"/>
      <c r="S196" s="297"/>
      <c r="T196" s="281"/>
    </row>
    <row r="197" spans="1:20" s="331" customFormat="1" ht="15" customHeight="1">
      <c r="A197" s="1" t="s">
        <v>534</v>
      </c>
      <c r="B197" s="1" t="s">
        <v>540</v>
      </c>
      <c r="C197" s="315" t="s">
        <v>621</v>
      </c>
      <c r="D197" s="281">
        <v>2974.06</v>
      </c>
      <c r="E197" s="281">
        <v>3138.57</v>
      </c>
      <c r="F197" s="281">
        <v>3254.83</v>
      </c>
      <c r="G197" s="281">
        <v>3436.18</v>
      </c>
      <c r="H197" s="281">
        <v>3628.42</v>
      </c>
      <c r="I197" s="281">
        <v>3832.19</v>
      </c>
      <c r="J197" s="281">
        <v>2945.84</v>
      </c>
      <c r="K197" s="281">
        <v>3108.78</v>
      </c>
      <c r="L197" s="281">
        <v>3223.93</v>
      </c>
      <c r="M197" s="281">
        <v>3403.57</v>
      </c>
      <c r="N197" s="281">
        <v>3593.99</v>
      </c>
      <c r="O197" s="281">
        <v>3795.82</v>
      </c>
      <c r="P197" s="309"/>
      <c r="Q197" s="313"/>
      <c r="R197" s="281"/>
      <c r="S197" s="297"/>
      <c r="T197" s="281"/>
    </row>
    <row r="198" spans="1:20" s="331" customFormat="1" ht="15" customHeight="1">
      <c r="A198" s="1" t="s">
        <v>534</v>
      </c>
      <c r="B198" s="1" t="s">
        <v>541</v>
      </c>
      <c r="C198" s="314" t="s">
        <v>622</v>
      </c>
      <c r="D198" s="281">
        <v>2777.1</v>
      </c>
      <c r="E198" s="281">
        <v>2930.71</v>
      </c>
      <c r="F198" s="281">
        <v>3039.26</v>
      </c>
      <c r="G198" s="281">
        <v>3208.62</v>
      </c>
      <c r="H198" s="281">
        <v>3388.12</v>
      </c>
      <c r="I198" s="281">
        <v>3578.39</v>
      </c>
      <c r="J198" s="281">
        <v>2750.8</v>
      </c>
      <c r="K198" s="281">
        <v>2902.95</v>
      </c>
      <c r="L198" s="281">
        <v>3010.48</v>
      </c>
      <c r="M198" s="281">
        <v>3178.23</v>
      </c>
      <c r="N198" s="281">
        <v>3356.03</v>
      </c>
      <c r="O198" s="281">
        <v>3544.5</v>
      </c>
      <c r="P198" s="309"/>
      <c r="Q198" s="314"/>
      <c r="R198" s="281"/>
      <c r="S198" s="281"/>
      <c r="T198" s="281"/>
    </row>
    <row r="199" spans="1:20" s="331" customFormat="1" ht="15" customHeight="1">
      <c r="A199" s="1" t="s">
        <v>534</v>
      </c>
      <c r="B199" s="1" t="s">
        <v>542</v>
      </c>
      <c r="C199" s="315" t="s">
        <v>623</v>
      </c>
      <c r="D199" s="281">
        <v>2777.1</v>
      </c>
      <c r="E199" s="281">
        <v>2930.71</v>
      </c>
      <c r="F199" s="281">
        <v>3039.26</v>
      </c>
      <c r="G199" s="281">
        <v>3208.62</v>
      </c>
      <c r="H199" s="281">
        <v>3388.12</v>
      </c>
      <c r="I199" s="281">
        <v>3578.39</v>
      </c>
      <c r="J199" s="281">
        <v>2750.8</v>
      </c>
      <c r="K199" s="281">
        <v>2902.95</v>
      </c>
      <c r="L199" s="281">
        <v>3010.48</v>
      </c>
      <c r="M199" s="281">
        <v>3178.23</v>
      </c>
      <c r="N199" s="281">
        <v>3356.03</v>
      </c>
      <c r="O199" s="281">
        <v>3544.5</v>
      </c>
      <c r="P199" s="323"/>
      <c r="Q199" s="315"/>
      <c r="R199" s="297"/>
      <c r="S199" s="297"/>
      <c r="T199" s="297"/>
    </row>
    <row r="200" spans="1:20" s="331" customFormat="1" ht="15" customHeight="1">
      <c r="A200" s="1" t="s">
        <v>534</v>
      </c>
      <c r="B200" s="1" t="s">
        <v>543</v>
      </c>
      <c r="C200" s="314" t="s">
        <v>624</v>
      </c>
      <c r="D200" s="291">
        <v>2712.08</v>
      </c>
      <c r="E200" s="281">
        <v>2862.1</v>
      </c>
      <c r="F200" s="281">
        <v>2968.12</v>
      </c>
      <c r="G200" s="281">
        <v>3133.5</v>
      </c>
      <c r="H200" s="281">
        <v>3308.8</v>
      </c>
      <c r="I200" s="281">
        <v>3494.62</v>
      </c>
      <c r="J200" s="291">
        <v>2686.31</v>
      </c>
      <c r="K200" s="281">
        <v>2834.92</v>
      </c>
      <c r="L200" s="281">
        <v>2939.92</v>
      </c>
      <c r="M200" s="281">
        <v>3103.73</v>
      </c>
      <c r="N200" s="281">
        <v>3277.37</v>
      </c>
      <c r="O200" s="281">
        <v>3461.42</v>
      </c>
      <c r="P200" s="309"/>
      <c r="Q200" s="315"/>
      <c r="R200" s="281"/>
      <c r="S200" s="297"/>
      <c r="T200" s="281"/>
    </row>
    <row r="201" spans="1:20" s="331" customFormat="1" ht="15" customHeight="1">
      <c r="A201" s="1" t="s">
        <v>534</v>
      </c>
      <c r="B201" s="1" t="s">
        <v>544</v>
      </c>
      <c r="C201" s="315" t="s">
        <v>625</v>
      </c>
      <c r="D201" s="291">
        <v>2712.08</v>
      </c>
      <c r="E201" s="281">
        <v>2862.1</v>
      </c>
      <c r="F201" s="281">
        <v>2968.12</v>
      </c>
      <c r="G201" s="281">
        <v>3133.5</v>
      </c>
      <c r="H201" s="281">
        <v>3308.8</v>
      </c>
      <c r="I201" s="281">
        <v>3494.62</v>
      </c>
      <c r="J201" s="291">
        <v>2686.31</v>
      </c>
      <c r="K201" s="281">
        <v>2834.92</v>
      </c>
      <c r="L201" s="281">
        <v>2939.92</v>
      </c>
      <c r="M201" s="281">
        <v>3103.73</v>
      </c>
      <c r="N201" s="281">
        <v>3277.37</v>
      </c>
      <c r="O201" s="281">
        <v>3461.42</v>
      </c>
      <c r="P201" s="309"/>
      <c r="Q201" s="315"/>
      <c r="R201" s="281"/>
      <c r="S201" s="297"/>
      <c r="T201" s="281"/>
    </row>
    <row r="202" spans="2:20" s="331" customFormat="1" ht="15" customHeight="1">
      <c r="B202" s="1"/>
      <c r="C202" s="302"/>
      <c r="F202" s="290"/>
      <c r="G202" s="296"/>
      <c r="H202" s="296"/>
      <c r="I202" s="281"/>
      <c r="J202" s="281"/>
      <c r="K202" s="281"/>
      <c r="L202" s="334"/>
      <c r="M202" s="334"/>
      <c r="N202" s="334"/>
      <c r="O202" s="334"/>
      <c r="P202" s="309"/>
      <c r="Q202" s="315"/>
      <c r="R202" s="281"/>
      <c r="S202" s="297"/>
      <c r="T202" s="281"/>
    </row>
    <row r="203" spans="1:20" s="331" customFormat="1" ht="15" customHeight="1">
      <c r="A203" s="197" t="s">
        <v>272</v>
      </c>
      <c r="B203" s="1"/>
      <c r="C203" s="302"/>
      <c r="F203" s="290"/>
      <c r="G203" s="296"/>
      <c r="H203" s="296"/>
      <c r="I203" s="281"/>
      <c r="J203" s="281"/>
      <c r="K203" s="281"/>
      <c r="L203" s="334"/>
      <c r="M203" s="334"/>
      <c r="N203" s="334"/>
      <c r="O203" s="334"/>
      <c r="P203" s="309"/>
      <c r="Q203" s="314"/>
      <c r="R203" s="281"/>
      <c r="S203" s="297"/>
      <c r="T203" s="281"/>
    </row>
    <row r="204" spans="2:20" s="331" customFormat="1" ht="15" customHeight="1">
      <c r="B204" s="1"/>
      <c r="C204" s="302"/>
      <c r="F204" s="290"/>
      <c r="G204" s="296"/>
      <c r="H204" s="296"/>
      <c r="I204" s="281"/>
      <c r="J204" s="281"/>
      <c r="K204" s="281"/>
      <c r="L204" s="334"/>
      <c r="M204" s="334"/>
      <c r="N204" s="334"/>
      <c r="O204" s="334"/>
      <c r="P204" s="309"/>
      <c r="Q204" s="313"/>
      <c r="R204" s="281"/>
      <c r="S204" s="297"/>
      <c r="T204" s="281"/>
    </row>
    <row r="205" spans="1:20" s="331" customFormat="1" ht="15" customHeight="1">
      <c r="A205" s="133" t="s">
        <v>273</v>
      </c>
      <c r="B205" s="25"/>
      <c r="C205" s="25"/>
      <c r="D205" s="136"/>
      <c r="E205" s="303"/>
      <c r="F205" s="311"/>
      <c r="G205" s="305"/>
      <c r="H205" s="308"/>
      <c r="I205" s="281"/>
      <c r="J205" s="281"/>
      <c r="K205" s="281"/>
      <c r="L205" s="334"/>
      <c r="M205" s="334"/>
      <c r="N205" s="334"/>
      <c r="O205" s="334"/>
      <c r="P205" s="309"/>
      <c r="Q205" s="313"/>
      <c r="R205" s="281"/>
      <c r="S205" s="297"/>
      <c r="T205" s="281"/>
    </row>
    <row r="206" spans="1:20" ht="15">
      <c r="A206" s="24"/>
      <c r="B206" s="25"/>
      <c r="C206" s="25"/>
      <c r="D206" s="136"/>
      <c r="F206" s="288"/>
      <c r="G206" s="335"/>
      <c r="H206" s="291"/>
      <c r="P206" s="309"/>
      <c r="Q206" s="314"/>
      <c r="R206" s="281"/>
      <c r="S206" s="281"/>
      <c r="T206" s="281"/>
    </row>
    <row r="207" spans="1:20" ht="15">
      <c r="A207" s="24" t="s">
        <v>266</v>
      </c>
      <c r="B207" s="25">
        <v>40807029</v>
      </c>
      <c r="C207" s="25" t="s">
        <v>324</v>
      </c>
      <c r="D207" s="136">
        <v>27.84</v>
      </c>
      <c r="F207" s="288"/>
      <c r="G207" s="335"/>
      <c r="H207" s="291"/>
      <c r="P207" s="323"/>
      <c r="Q207" s="315"/>
      <c r="R207" s="281"/>
      <c r="S207" s="297"/>
      <c r="T207" s="281"/>
    </row>
    <row r="208" spans="1:20" ht="15">
      <c r="A208" s="24" t="s">
        <v>266</v>
      </c>
      <c r="B208" s="198">
        <v>40807030</v>
      </c>
      <c r="C208" s="198" t="s">
        <v>325</v>
      </c>
      <c r="D208" s="136">
        <v>27.32</v>
      </c>
      <c r="F208" s="288"/>
      <c r="G208" s="335"/>
      <c r="H208" s="291"/>
      <c r="P208" s="309"/>
      <c r="Q208" s="314"/>
      <c r="R208" s="291"/>
      <c r="S208" s="297"/>
      <c r="T208" s="291"/>
    </row>
    <row r="209" spans="1:20" ht="15">
      <c r="A209" s="24" t="s">
        <v>266</v>
      </c>
      <c r="B209" s="198">
        <v>40807031</v>
      </c>
      <c r="C209" s="198" t="s">
        <v>274</v>
      </c>
      <c r="D209" s="136">
        <v>25.59</v>
      </c>
      <c r="P209" s="309"/>
      <c r="Q209" s="313"/>
      <c r="R209" s="281"/>
      <c r="S209" s="297"/>
      <c r="T209" s="281"/>
    </row>
    <row r="210" spans="1:20" ht="15">
      <c r="A210" s="1"/>
      <c r="C210" s="1"/>
      <c r="D210" s="136"/>
      <c r="P210" s="309"/>
      <c r="Q210" s="314"/>
      <c r="R210" s="281"/>
      <c r="S210" s="297"/>
      <c r="T210" s="281"/>
    </row>
    <row r="211" spans="1:20" ht="15.75">
      <c r="A211" s="133" t="s">
        <v>275</v>
      </c>
      <c r="C211" s="1"/>
      <c r="D211" s="136"/>
      <c r="P211" s="309"/>
      <c r="Q211" s="318"/>
      <c r="R211" s="281"/>
      <c r="S211" s="297"/>
      <c r="T211" s="281"/>
    </row>
    <row r="212" spans="1:20" ht="15">
      <c r="A212" s="1"/>
      <c r="B212" s="25"/>
      <c r="C212" s="25"/>
      <c r="D212" s="327" t="s">
        <v>228</v>
      </c>
      <c r="E212" s="328" t="s">
        <v>229</v>
      </c>
      <c r="P212" s="309"/>
      <c r="Q212" s="318"/>
      <c r="R212" s="281"/>
      <c r="S212" s="297"/>
      <c r="T212" s="281"/>
    </row>
    <row r="213" spans="1:20" ht="15">
      <c r="A213" s="24" t="s">
        <v>267</v>
      </c>
      <c r="B213" s="25">
        <v>40507040</v>
      </c>
      <c r="C213" s="25" t="s">
        <v>268</v>
      </c>
      <c r="D213" s="281">
        <v>24.47</v>
      </c>
      <c r="E213" s="281">
        <v>31.34</v>
      </c>
      <c r="P213" s="309"/>
      <c r="Q213" s="313"/>
      <c r="R213" s="281"/>
      <c r="S213" s="297"/>
      <c r="T213" s="281"/>
    </row>
    <row r="214" spans="1:4" ht="15">
      <c r="A214" s="1"/>
      <c r="C214" s="1"/>
      <c r="D214" s="136"/>
    </row>
    <row r="215" spans="1:4" ht="15">
      <c r="A215" s="25"/>
      <c r="B215" s="25"/>
      <c r="C215" s="25"/>
      <c r="D215" s="136"/>
    </row>
    <row r="216" spans="1:4" ht="15.75">
      <c r="A216" s="133" t="s">
        <v>276</v>
      </c>
      <c r="B216" s="134"/>
      <c r="C216" s="25"/>
      <c r="D216" s="136"/>
    </row>
    <row r="217" spans="1:5" ht="15">
      <c r="A217" s="24"/>
      <c r="B217" s="25"/>
      <c r="C217" s="25"/>
      <c r="D217" s="327" t="s">
        <v>228</v>
      </c>
      <c r="E217" s="328" t="s">
        <v>229</v>
      </c>
    </row>
    <row r="218" spans="1:5" ht="15">
      <c r="A218" s="24" t="s">
        <v>269</v>
      </c>
      <c r="B218" s="134">
        <v>40607033</v>
      </c>
      <c r="C218" s="25" t="s">
        <v>270</v>
      </c>
      <c r="D218" s="281">
        <v>24.92</v>
      </c>
      <c r="E218" s="281">
        <v>28.57</v>
      </c>
    </row>
    <row r="219" spans="1:4" ht="15">
      <c r="A219" s="25"/>
      <c r="B219" s="25"/>
      <c r="C219" s="25"/>
      <c r="D219" s="136"/>
    </row>
    <row r="220" spans="1:4" ht="15">
      <c r="A220" s="1"/>
      <c r="C220" s="1"/>
      <c r="D220" s="136"/>
    </row>
    <row r="221" spans="1:4" ht="15.75">
      <c r="A221" s="133" t="s">
        <v>277</v>
      </c>
      <c r="B221" s="134"/>
      <c r="C221" s="25"/>
      <c r="D221" s="136"/>
    </row>
    <row r="222" spans="1:5" ht="15">
      <c r="A222" s="24"/>
      <c r="B222" s="25"/>
      <c r="C222" s="25"/>
      <c r="D222" s="327" t="s">
        <v>228</v>
      </c>
      <c r="E222" s="328" t="s">
        <v>229</v>
      </c>
    </row>
    <row r="223" spans="1:5" ht="15">
      <c r="A223" s="24" t="s">
        <v>271</v>
      </c>
      <c r="B223" s="134">
        <v>40707033</v>
      </c>
      <c r="C223" s="25" t="s">
        <v>313</v>
      </c>
      <c r="D223" s="281">
        <v>24.92</v>
      </c>
      <c r="E223" s="281">
        <v>28.57</v>
      </c>
    </row>
    <row r="224" spans="3:10" ht="15" customHeight="1">
      <c r="C224" s="272"/>
      <c r="D224" s="272"/>
      <c r="E224" s="272"/>
      <c r="F224" s="272"/>
      <c r="G224" s="272"/>
      <c r="H224" s="272"/>
      <c r="I224" s="272"/>
      <c r="J224" s="272"/>
    </row>
    <row r="225" spans="3:10" ht="15" customHeight="1">
      <c r="C225" s="272"/>
      <c r="D225" s="272"/>
      <c r="E225" s="272"/>
      <c r="F225" s="272"/>
      <c r="G225" s="272"/>
      <c r="H225" s="272"/>
      <c r="I225" s="272"/>
      <c r="J225" s="272"/>
    </row>
    <row r="226" spans="2:10" ht="15" customHeight="1">
      <c r="B226" s="25"/>
      <c r="C226" s="272"/>
      <c r="D226" s="272"/>
      <c r="E226" s="272"/>
      <c r="F226" s="272"/>
      <c r="G226" s="272"/>
      <c r="H226" s="272"/>
      <c r="I226" s="272"/>
      <c r="J226" s="272"/>
    </row>
    <row r="227" spans="2:10" ht="15" customHeight="1">
      <c r="B227" s="25"/>
      <c r="C227" s="272"/>
      <c r="D227" s="272"/>
      <c r="E227" s="272"/>
      <c r="F227" s="272"/>
      <c r="G227" s="272"/>
      <c r="H227" s="272"/>
      <c r="I227" s="272"/>
      <c r="J227" s="272"/>
    </row>
    <row r="228" spans="3:10" ht="15" customHeight="1">
      <c r="C228" s="272"/>
      <c r="D228" s="272"/>
      <c r="E228" s="272"/>
      <c r="F228" s="272"/>
      <c r="G228" s="272"/>
      <c r="H228" s="272"/>
      <c r="I228" s="272"/>
      <c r="J228" s="272"/>
    </row>
    <row r="229" spans="2:10" ht="15" customHeight="1">
      <c r="B229" s="25"/>
      <c r="C229" s="272"/>
      <c r="D229" s="272"/>
      <c r="E229" s="272"/>
      <c r="F229" s="272"/>
      <c r="G229" s="272"/>
      <c r="H229" s="272"/>
      <c r="I229" s="272"/>
      <c r="J229" s="272"/>
    </row>
    <row r="230" spans="3:10" ht="15" customHeight="1">
      <c r="C230" s="272"/>
      <c r="D230" s="272"/>
      <c r="E230" s="272"/>
      <c r="F230" s="272"/>
      <c r="G230" s="272"/>
      <c r="H230" s="272"/>
      <c r="I230" s="272"/>
      <c r="J230" s="272"/>
    </row>
    <row r="231" spans="2:10" ht="15" customHeight="1">
      <c r="B231" s="25"/>
      <c r="C231" s="272"/>
      <c r="D231" s="272"/>
      <c r="E231" s="272"/>
      <c r="F231" s="272"/>
      <c r="G231" s="272"/>
      <c r="H231" s="272"/>
      <c r="I231" s="272"/>
      <c r="J231" s="272"/>
    </row>
    <row r="232" spans="3:10" ht="15" customHeight="1">
      <c r="C232" s="272"/>
      <c r="D232" s="272"/>
      <c r="E232" s="272"/>
      <c r="F232" s="272"/>
      <c r="G232" s="272"/>
      <c r="H232" s="272"/>
      <c r="I232" s="272"/>
      <c r="J232" s="272"/>
    </row>
    <row r="233" spans="2:10" ht="15" customHeight="1">
      <c r="B233" s="25"/>
      <c r="C233" s="272"/>
      <c r="D233" s="272"/>
      <c r="E233" s="272"/>
      <c r="F233" s="272"/>
      <c r="G233" s="272"/>
      <c r="H233" s="272"/>
      <c r="I233" s="272"/>
      <c r="J233" s="272"/>
    </row>
    <row r="234" spans="3:10" ht="15" customHeight="1">
      <c r="C234" s="272"/>
      <c r="D234" s="272"/>
      <c r="E234" s="272"/>
      <c r="F234" s="272"/>
      <c r="G234" s="272"/>
      <c r="H234" s="272"/>
      <c r="I234" s="272"/>
      <c r="J234" s="272"/>
    </row>
    <row r="235" spans="2:10" ht="15" customHeight="1">
      <c r="B235" s="25"/>
      <c r="C235" s="272"/>
      <c r="D235" s="272"/>
      <c r="E235" s="272"/>
      <c r="F235" s="272"/>
      <c r="G235" s="272"/>
      <c r="H235" s="272"/>
      <c r="I235" s="272"/>
      <c r="J235" s="272"/>
    </row>
    <row r="236" spans="3:10" ht="15" customHeight="1">
      <c r="C236" s="272"/>
      <c r="D236" s="272"/>
      <c r="E236" s="272"/>
      <c r="F236" s="272"/>
      <c r="G236" s="272"/>
      <c r="H236" s="272"/>
      <c r="I236" s="272"/>
      <c r="J236" s="272"/>
    </row>
    <row r="237" spans="2:10" ht="15" customHeight="1">
      <c r="B237" s="25"/>
      <c r="C237" s="272"/>
      <c r="D237" s="272"/>
      <c r="E237" s="272"/>
      <c r="F237" s="272"/>
      <c r="G237" s="272"/>
      <c r="H237" s="272"/>
      <c r="I237" s="272"/>
      <c r="J237" s="272"/>
    </row>
    <row r="238" spans="3:10" ht="15" customHeight="1">
      <c r="C238" s="272"/>
      <c r="D238" s="272"/>
      <c r="E238" s="272"/>
      <c r="F238" s="272"/>
      <c r="G238" s="272"/>
      <c r="H238" s="272"/>
      <c r="I238" s="272"/>
      <c r="J238" s="272"/>
    </row>
    <row r="239" spans="2:10" ht="15" customHeight="1">
      <c r="B239" s="25"/>
      <c r="C239" s="272"/>
      <c r="D239" s="272"/>
      <c r="E239" s="272"/>
      <c r="F239" s="272"/>
      <c r="G239" s="272"/>
      <c r="H239" s="272"/>
      <c r="I239" s="272"/>
      <c r="J239" s="272"/>
    </row>
    <row r="240" spans="3:10" ht="15" customHeight="1">
      <c r="C240" s="272"/>
      <c r="D240" s="272"/>
      <c r="E240" s="272"/>
      <c r="F240" s="272"/>
      <c r="G240" s="272"/>
      <c r="H240" s="272"/>
      <c r="I240" s="272"/>
      <c r="J240" s="272"/>
    </row>
    <row r="241" spans="2:10" ht="15" customHeight="1">
      <c r="B241" s="25"/>
      <c r="C241" s="272"/>
      <c r="D241" s="272"/>
      <c r="E241" s="272"/>
      <c r="F241" s="272"/>
      <c r="G241" s="272"/>
      <c r="H241" s="272"/>
      <c r="I241" s="272"/>
      <c r="J241" s="272"/>
    </row>
    <row r="242" spans="3:10" ht="15" customHeight="1">
      <c r="C242" s="272"/>
      <c r="D242" s="272"/>
      <c r="E242" s="272"/>
      <c r="F242" s="272"/>
      <c r="G242" s="272"/>
      <c r="H242" s="272"/>
      <c r="I242" s="272"/>
      <c r="J242" s="272"/>
    </row>
    <row r="243" spans="2:10" ht="15" customHeight="1">
      <c r="B243" s="25"/>
      <c r="C243" s="272"/>
      <c r="D243" s="272"/>
      <c r="E243" s="272"/>
      <c r="F243" s="272"/>
      <c r="G243" s="272"/>
      <c r="H243" s="272"/>
      <c r="I243" s="272"/>
      <c r="J243" s="272"/>
    </row>
    <row r="244" spans="3:10" ht="15" customHeight="1">
      <c r="C244" s="272"/>
      <c r="D244" s="272"/>
      <c r="E244" s="272"/>
      <c r="F244" s="272"/>
      <c r="G244" s="272"/>
      <c r="H244" s="272"/>
      <c r="I244" s="272"/>
      <c r="J244" s="272"/>
    </row>
    <row r="245" spans="2:10" ht="15" customHeight="1">
      <c r="B245" s="25"/>
      <c r="C245" s="272"/>
      <c r="D245" s="272"/>
      <c r="E245" s="272"/>
      <c r="F245" s="272"/>
      <c r="G245" s="272"/>
      <c r="H245" s="272"/>
      <c r="I245" s="272"/>
      <c r="J245" s="272"/>
    </row>
    <row r="246" spans="3:10" ht="15" customHeight="1">
      <c r="C246" s="272"/>
      <c r="D246" s="272"/>
      <c r="E246" s="272"/>
      <c r="F246" s="272"/>
      <c r="G246" s="272"/>
      <c r="H246" s="272"/>
      <c r="I246" s="272"/>
      <c r="J246" s="272"/>
    </row>
    <row r="247" spans="2:10" ht="15" customHeight="1">
      <c r="B247" s="25"/>
      <c r="C247" s="272"/>
      <c r="D247" s="272"/>
      <c r="E247" s="272"/>
      <c r="F247" s="272"/>
      <c r="G247" s="272"/>
      <c r="H247" s="272"/>
      <c r="I247" s="272"/>
      <c r="J247" s="272"/>
    </row>
    <row r="248" spans="3:10" ht="15" customHeight="1">
      <c r="C248" s="272"/>
      <c r="D248" s="272"/>
      <c r="E248" s="272"/>
      <c r="F248" s="272"/>
      <c r="G248" s="272"/>
      <c r="H248" s="272"/>
      <c r="I248" s="272"/>
      <c r="J248" s="272"/>
    </row>
    <row r="249" spans="2:10" ht="15" customHeight="1">
      <c r="B249" s="25"/>
      <c r="C249" s="272"/>
      <c r="D249" s="272"/>
      <c r="E249" s="272"/>
      <c r="F249" s="272"/>
      <c r="G249" s="272"/>
      <c r="H249" s="272"/>
      <c r="I249" s="272"/>
      <c r="J249" s="272"/>
    </row>
    <row r="250" spans="4:15" ht="15" customHeight="1">
      <c r="D250" s="308"/>
      <c r="E250" s="307"/>
      <c r="F250" s="308"/>
      <c r="I250" s="281"/>
      <c r="J250" s="281"/>
      <c r="L250" s="283"/>
      <c r="M250" s="283"/>
      <c r="N250" s="283"/>
      <c r="O250" s="283"/>
    </row>
    <row r="251" spans="2:15" ht="15" customHeight="1">
      <c r="B251" s="25"/>
      <c r="D251" s="308"/>
      <c r="E251" s="307"/>
      <c r="F251" s="308"/>
      <c r="L251" s="283"/>
      <c r="M251" s="283"/>
      <c r="N251" s="283"/>
      <c r="O251" s="283"/>
    </row>
    <row r="252" spans="12:15" ht="15" customHeight="1">
      <c r="L252" s="283"/>
      <c r="M252" s="283"/>
      <c r="N252" s="283"/>
      <c r="O252" s="283"/>
    </row>
    <row r="253" spans="2:15" ht="15" customHeight="1">
      <c r="B253" s="25"/>
      <c r="L253" s="283"/>
      <c r="M253" s="283"/>
      <c r="N253" s="283"/>
      <c r="O253" s="283"/>
    </row>
    <row r="254" spans="12:15" ht="15" customHeight="1">
      <c r="L254" s="283"/>
      <c r="M254" s="283"/>
      <c r="N254" s="283"/>
      <c r="O254" s="283"/>
    </row>
    <row r="255" spans="2:15" ht="15" customHeight="1">
      <c r="B255" s="25"/>
      <c r="L255" s="283"/>
      <c r="M255" s="283"/>
      <c r="N255" s="283"/>
      <c r="O255" s="283"/>
    </row>
    <row r="256" spans="12:15" ht="15" customHeight="1">
      <c r="L256" s="283"/>
      <c r="M256" s="283"/>
      <c r="N256" s="283"/>
      <c r="O256" s="283"/>
    </row>
    <row r="257" spans="2:15" ht="15" customHeight="1">
      <c r="B257" s="25"/>
      <c r="L257" s="283"/>
      <c r="M257" s="283"/>
      <c r="N257" s="283"/>
      <c r="O257" s="283"/>
    </row>
    <row r="258" spans="3:15" ht="15" customHeight="1">
      <c r="C258" s="271"/>
      <c r="D258" s="272"/>
      <c r="E258" s="272"/>
      <c r="F258" s="272"/>
      <c r="G258" s="272"/>
      <c r="L258" s="283"/>
      <c r="M258" s="283"/>
      <c r="N258" s="283"/>
      <c r="O258" s="283"/>
    </row>
    <row r="259" spans="2:15" ht="15" customHeight="1">
      <c r="B259" s="25"/>
      <c r="C259" s="271"/>
      <c r="D259" s="272"/>
      <c r="E259" s="272"/>
      <c r="F259" s="272"/>
      <c r="G259" s="272"/>
      <c r="L259" s="283"/>
      <c r="M259" s="283"/>
      <c r="N259" s="283"/>
      <c r="O259" s="283"/>
    </row>
    <row r="260" spans="3:15" ht="15" customHeight="1">
      <c r="C260" s="271"/>
      <c r="D260" s="272"/>
      <c r="E260" s="272"/>
      <c r="F260" s="272"/>
      <c r="G260" s="272"/>
      <c r="H260" s="272"/>
      <c r="I260" s="272"/>
      <c r="J260" s="272"/>
      <c r="L260" s="283"/>
      <c r="M260" s="283"/>
      <c r="N260" s="283"/>
      <c r="O260" s="283"/>
    </row>
    <row r="261" spans="2:15" ht="15" customHeight="1">
      <c r="B261" s="25"/>
      <c r="C261" s="271"/>
      <c r="D261" s="272"/>
      <c r="E261" s="272"/>
      <c r="F261" s="272"/>
      <c r="G261" s="272"/>
      <c r="H261" s="272"/>
      <c r="I261" s="272"/>
      <c r="J261" s="272"/>
      <c r="L261" s="283"/>
      <c r="M261" s="283"/>
      <c r="N261" s="283"/>
      <c r="O261" s="283"/>
    </row>
    <row r="262" spans="3:15" ht="15" customHeight="1">
      <c r="C262" s="271"/>
      <c r="D262" s="272"/>
      <c r="E262" s="272"/>
      <c r="F262" s="272"/>
      <c r="G262" s="272"/>
      <c r="H262" s="272"/>
      <c r="I262" s="272"/>
      <c r="J262" s="272"/>
      <c r="L262" s="283"/>
      <c r="M262" s="283"/>
      <c r="N262" s="283"/>
      <c r="O262" s="283"/>
    </row>
    <row r="263" spans="2:15" ht="15" customHeight="1">
      <c r="B263" s="25"/>
      <c r="C263" s="271"/>
      <c r="D263" s="272"/>
      <c r="E263" s="272"/>
      <c r="F263" s="272"/>
      <c r="G263" s="272"/>
      <c r="H263" s="272"/>
      <c r="I263" s="272"/>
      <c r="J263" s="272"/>
      <c r="L263" s="283"/>
      <c r="M263" s="283"/>
      <c r="N263" s="283"/>
      <c r="O263" s="283"/>
    </row>
    <row r="264" spans="3:15" ht="15" customHeight="1">
      <c r="C264" s="271"/>
      <c r="D264" s="272"/>
      <c r="E264" s="272"/>
      <c r="F264" s="272"/>
      <c r="G264" s="272"/>
      <c r="H264" s="272"/>
      <c r="I264" s="272"/>
      <c r="J264" s="272"/>
      <c r="L264" s="283"/>
      <c r="M264" s="283"/>
      <c r="N264" s="283"/>
      <c r="O264" s="283"/>
    </row>
    <row r="265" spans="2:15" ht="15" customHeight="1">
      <c r="B265" s="25"/>
      <c r="C265" s="271"/>
      <c r="D265" s="272"/>
      <c r="E265" s="272"/>
      <c r="F265" s="272"/>
      <c r="G265" s="272"/>
      <c r="H265" s="272"/>
      <c r="I265" s="272"/>
      <c r="J265" s="272"/>
      <c r="L265" s="283"/>
      <c r="M265" s="283"/>
      <c r="N265" s="283"/>
      <c r="O265" s="283"/>
    </row>
    <row r="266" spans="3:15" ht="15" customHeight="1">
      <c r="C266" s="271"/>
      <c r="D266" s="272"/>
      <c r="E266" s="272"/>
      <c r="F266" s="272"/>
      <c r="G266" s="272"/>
      <c r="H266" s="272"/>
      <c r="I266" s="272"/>
      <c r="J266" s="272"/>
      <c r="L266" s="283"/>
      <c r="M266" s="283"/>
      <c r="N266" s="283"/>
      <c r="O266" s="283"/>
    </row>
    <row r="267" spans="2:15" ht="15" customHeight="1">
      <c r="B267" s="25"/>
      <c r="C267" s="271"/>
      <c r="D267" s="272"/>
      <c r="E267" s="272"/>
      <c r="F267" s="272"/>
      <c r="G267" s="272"/>
      <c r="H267" s="272"/>
      <c r="I267" s="272"/>
      <c r="J267" s="272"/>
      <c r="L267" s="283"/>
      <c r="M267" s="283"/>
      <c r="N267" s="283"/>
      <c r="O267" s="283"/>
    </row>
    <row r="268" spans="3:15" ht="15" customHeight="1">
      <c r="C268" s="271"/>
      <c r="D268" s="272"/>
      <c r="E268" s="272"/>
      <c r="F268" s="272"/>
      <c r="G268" s="272"/>
      <c r="H268" s="272"/>
      <c r="I268" s="272"/>
      <c r="J268" s="272"/>
      <c r="L268" s="283"/>
      <c r="M268" s="283"/>
      <c r="N268" s="283"/>
      <c r="O268" s="283"/>
    </row>
    <row r="269" spans="2:15" ht="15" customHeight="1">
      <c r="B269" s="25"/>
      <c r="C269" s="271"/>
      <c r="D269" s="272"/>
      <c r="E269" s="272"/>
      <c r="F269" s="272"/>
      <c r="G269" s="272"/>
      <c r="H269" s="272"/>
      <c r="I269" s="272"/>
      <c r="J269" s="272"/>
      <c r="L269" s="283"/>
      <c r="M269" s="283"/>
      <c r="N269" s="283"/>
      <c r="O269" s="283"/>
    </row>
    <row r="270" spans="3:15" ht="15" customHeight="1">
      <c r="C270" s="271"/>
      <c r="D270" s="272"/>
      <c r="E270" s="272"/>
      <c r="F270" s="272"/>
      <c r="G270" s="272"/>
      <c r="H270" s="272"/>
      <c r="I270" s="272"/>
      <c r="J270" s="272"/>
      <c r="L270" s="283"/>
      <c r="M270" s="283"/>
      <c r="N270" s="283"/>
      <c r="O270" s="283"/>
    </row>
    <row r="271" spans="2:15" ht="15" customHeight="1">
      <c r="B271" s="25"/>
      <c r="C271" s="271"/>
      <c r="D271" s="272"/>
      <c r="E271" s="272"/>
      <c r="F271" s="272"/>
      <c r="G271" s="272"/>
      <c r="H271" s="272"/>
      <c r="I271" s="272"/>
      <c r="J271" s="272"/>
      <c r="L271" s="283"/>
      <c r="M271" s="283"/>
      <c r="N271" s="283"/>
      <c r="O271" s="283"/>
    </row>
    <row r="272" spans="3:15" ht="15" customHeight="1">
      <c r="C272" s="271"/>
      <c r="D272" s="272"/>
      <c r="E272" s="272"/>
      <c r="F272" s="272"/>
      <c r="G272" s="272"/>
      <c r="H272" s="272"/>
      <c r="I272" s="272"/>
      <c r="J272" s="272"/>
      <c r="L272" s="283"/>
      <c r="M272" s="283"/>
      <c r="N272" s="283"/>
      <c r="O272" s="283"/>
    </row>
    <row r="273" spans="2:15" ht="15" customHeight="1">
      <c r="B273" s="25"/>
      <c r="C273" s="271"/>
      <c r="D273" s="272"/>
      <c r="E273" s="272"/>
      <c r="F273" s="272"/>
      <c r="G273" s="272"/>
      <c r="H273" s="272"/>
      <c r="I273" s="272"/>
      <c r="J273" s="272"/>
      <c r="L273" s="283"/>
      <c r="M273" s="283"/>
      <c r="N273" s="283"/>
      <c r="O273" s="283"/>
    </row>
    <row r="274" spans="3:15" ht="15" customHeight="1">
      <c r="C274" s="271"/>
      <c r="D274" s="272"/>
      <c r="E274" s="272"/>
      <c r="F274" s="272"/>
      <c r="G274" s="272"/>
      <c r="H274" s="272"/>
      <c r="I274" s="272"/>
      <c r="J274" s="272"/>
      <c r="L274" s="283"/>
      <c r="M274" s="283"/>
      <c r="N274" s="283"/>
      <c r="O274" s="283"/>
    </row>
    <row r="275" spans="2:15" ht="15" customHeight="1">
      <c r="B275" s="25"/>
      <c r="C275" s="271"/>
      <c r="D275" s="272"/>
      <c r="E275" s="272"/>
      <c r="F275" s="272"/>
      <c r="G275" s="272"/>
      <c r="H275" s="272"/>
      <c r="I275" s="272"/>
      <c r="J275" s="272"/>
      <c r="L275" s="283"/>
      <c r="M275" s="283"/>
      <c r="N275" s="283"/>
      <c r="O275" s="283"/>
    </row>
    <row r="276" spans="3:15" ht="15" customHeight="1">
      <c r="C276" s="271"/>
      <c r="D276" s="272"/>
      <c r="E276" s="272"/>
      <c r="F276" s="272"/>
      <c r="G276" s="272"/>
      <c r="H276" s="272"/>
      <c r="I276" s="272"/>
      <c r="J276" s="272"/>
      <c r="L276" s="283"/>
      <c r="M276" s="283"/>
      <c r="N276" s="283"/>
      <c r="O276" s="283"/>
    </row>
    <row r="277" spans="2:15" ht="15" customHeight="1">
      <c r="B277" s="25"/>
      <c r="C277" s="271"/>
      <c r="D277" s="272"/>
      <c r="E277" s="272"/>
      <c r="F277" s="272"/>
      <c r="G277" s="272"/>
      <c r="H277" s="272"/>
      <c r="I277" s="272"/>
      <c r="J277" s="272"/>
      <c r="L277" s="283"/>
      <c r="M277" s="283"/>
      <c r="N277" s="283"/>
      <c r="O277" s="283"/>
    </row>
    <row r="278" spans="3:15" ht="15" customHeight="1">
      <c r="C278" s="271"/>
      <c r="D278" s="272"/>
      <c r="E278" s="272"/>
      <c r="F278" s="272"/>
      <c r="G278" s="272"/>
      <c r="H278" s="272"/>
      <c r="I278" s="272"/>
      <c r="J278" s="272"/>
      <c r="L278" s="283"/>
      <c r="M278" s="283"/>
      <c r="N278" s="283"/>
      <c r="O278" s="283"/>
    </row>
    <row r="279" spans="3:15" ht="15" customHeight="1">
      <c r="C279" s="271"/>
      <c r="D279" s="272"/>
      <c r="E279" s="272"/>
      <c r="F279" s="272"/>
      <c r="G279" s="272"/>
      <c r="H279" s="272"/>
      <c r="I279" s="272"/>
      <c r="J279" s="272"/>
      <c r="L279" s="283"/>
      <c r="M279" s="283"/>
      <c r="N279" s="283"/>
      <c r="O279" s="283"/>
    </row>
    <row r="280" spans="3:15" ht="15" customHeight="1">
      <c r="C280" s="271"/>
      <c r="D280" s="272"/>
      <c r="E280" s="272"/>
      <c r="F280" s="272"/>
      <c r="G280" s="272"/>
      <c r="H280" s="272"/>
      <c r="I280" s="272"/>
      <c r="J280" s="272"/>
      <c r="L280" s="283"/>
      <c r="M280" s="283"/>
      <c r="N280" s="283"/>
      <c r="O280" s="283"/>
    </row>
    <row r="281" spans="3:15" ht="15" customHeight="1">
      <c r="C281" s="271"/>
      <c r="D281" s="272"/>
      <c r="E281" s="272"/>
      <c r="F281" s="272"/>
      <c r="G281" s="272"/>
      <c r="H281" s="272"/>
      <c r="I281" s="272"/>
      <c r="J281" s="272"/>
      <c r="L281" s="283"/>
      <c r="M281" s="283"/>
      <c r="N281" s="283"/>
      <c r="O281" s="283"/>
    </row>
    <row r="282" spans="3:15" ht="15" customHeight="1">
      <c r="C282" s="271"/>
      <c r="D282" s="272"/>
      <c r="E282" s="272"/>
      <c r="F282" s="272"/>
      <c r="G282" s="272"/>
      <c r="H282" s="272"/>
      <c r="I282" s="272"/>
      <c r="J282" s="272"/>
      <c r="L282" s="283"/>
      <c r="M282" s="283"/>
      <c r="N282" s="283"/>
      <c r="O282" s="283"/>
    </row>
    <row r="283" spans="3:15" ht="15" customHeight="1">
      <c r="C283" s="271"/>
      <c r="D283" s="272"/>
      <c r="E283" s="272"/>
      <c r="F283" s="272"/>
      <c r="G283" s="272"/>
      <c r="H283" s="272"/>
      <c r="I283" s="272"/>
      <c r="J283" s="272"/>
      <c r="L283" s="283"/>
      <c r="M283" s="283"/>
      <c r="N283" s="283"/>
      <c r="O283" s="283"/>
    </row>
    <row r="284" spans="3:15" ht="15" customHeight="1">
      <c r="C284" s="271"/>
      <c r="D284" s="272"/>
      <c r="E284" s="272"/>
      <c r="F284" s="272"/>
      <c r="G284" s="272"/>
      <c r="H284" s="272"/>
      <c r="I284" s="272"/>
      <c r="J284" s="272"/>
      <c r="L284" s="283"/>
      <c r="M284" s="283"/>
      <c r="N284" s="283"/>
      <c r="O284" s="283"/>
    </row>
    <row r="285" spans="3:15" ht="15" customHeight="1">
      <c r="C285" s="271"/>
      <c r="D285" s="272"/>
      <c r="E285" s="272"/>
      <c r="F285" s="272"/>
      <c r="G285" s="272"/>
      <c r="H285" s="272"/>
      <c r="I285" s="272"/>
      <c r="J285" s="272"/>
      <c r="L285" s="283"/>
      <c r="M285" s="283"/>
      <c r="N285" s="283"/>
      <c r="O285" s="283"/>
    </row>
    <row r="286" spans="3:15" ht="15" customHeight="1">
      <c r="C286" s="271"/>
      <c r="D286" s="272"/>
      <c r="E286" s="272"/>
      <c r="F286" s="272"/>
      <c r="G286" s="272"/>
      <c r="H286" s="272"/>
      <c r="I286" s="272"/>
      <c r="J286" s="272"/>
      <c r="L286" s="283"/>
      <c r="M286" s="283"/>
      <c r="N286" s="283"/>
      <c r="O286" s="283"/>
    </row>
    <row r="287" spans="3:15" ht="15" customHeight="1">
      <c r="C287" s="271"/>
      <c r="D287" s="272"/>
      <c r="E287" s="272"/>
      <c r="F287" s="272"/>
      <c r="G287" s="272"/>
      <c r="H287" s="272"/>
      <c r="I287" s="272"/>
      <c r="J287" s="272"/>
      <c r="L287" s="283"/>
      <c r="M287" s="283"/>
      <c r="N287" s="283"/>
      <c r="O287" s="283"/>
    </row>
    <row r="288" spans="3:15" ht="15" customHeight="1">
      <c r="C288" s="271"/>
      <c r="D288" s="272"/>
      <c r="E288" s="272"/>
      <c r="F288" s="272"/>
      <c r="G288" s="272"/>
      <c r="H288" s="272"/>
      <c r="I288" s="272"/>
      <c r="J288" s="272"/>
      <c r="L288" s="283"/>
      <c r="M288" s="283"/>
      <c r="N288" s="283"/>
      <c r="O288" s="283"/>
    </row>
    <row r="289" spans="3:15" ht="15" customHeight="1">
      <c r="C289" s="271"/>
      <c r="D289" s="272"/>
      <c r="E289" s="272"/>
      <c r="F289" s="272"/>
      <c r="G289" s="272"/>
      <c r="H289" s="272"/>
      <c r="I289" s="272"/>
      <c r="J289" s="272"/>
      <c r="L289" s="283"/>
      <c r="M289" s="283"/>
      <c r="N289" s="283"/>
      <c r="O289" s="283"/>
    </row>
    <row r="290" spans="3:15" ht="15" customHeight="1">
      <c r="C290" s="271"/>
      <c r="D290" s="272"/>
      <c r="E290" s="272"/>
      <c r="F290" s="272"/>
      <c r="G290" s="272"/>
      <c r="H290" s="272"/>
      <c r="I290" s="272"/>
      <c r="J290" s="272"/>
      <c r="L290" s="283"/>
      <c r="M290" s="283"/>
      <c r="N290" s="283"/>
      <c r="O290" s="283"/>
    </row>
    <row r="291" spans="3:15" ht="15" customHeight="1">
      <c r="C291" s="271"/>
      <c r="D291" s="272"/>
      <c r="E291" s="272"/>
      <c r="F291" s="272"/>
      <c r="G291" s="272"/>
      <c r="H291" s="272"/>
      <c r="I291" s="272"/>
      <c r="J291" s="272"/>
      <c r="L291" s="283"/>
      <c r="M291" s="283"/>
      <c r="N291" s="283"/>
      <c r="O291" s="283"/>
    </row>
    <row r="292" spans="3:15" ht="15" customHeight="1">
      <c r="C292" s="271"/>
      <c r="D292" s="272"/>
      <c r="E292" s="272"/>
      <c r="F292" s="272"/>
      <c r="G292" s="272"/>
      <c r="H292" s="272"/>
      <c r="I292" s="272"/>
      <c r="J292" s="272"/>
      <c r="L292" s="283"/>
      <c r="M292" s="283"/>
      <c r="N292" s="283"/>
      <c r="O292" s="283"/>
    </row>
    <row r="293" spans="3:15" ht="15" customHeight="1">
      <c r="C293" s="271"/>
      <c r="D293" s="272"/>
      <c r="E293" s="272"/>
      <c r="F293" s="272"/>
      <c r="G293" s="272"/>
      <c r="H293" s="272"/>
      <c r="I293" s="272"/>
      <c r="J293" s="272"/>
      <c r="L293" s="283"/>
      <c r="M293" s="283"/>
      <c r="N293" s="283"/>
      <c r="O293" s="283"/>
    </row>
    <row r="294" spans="3:15" ht="15" customHeight="1">
      <c r="C294" s="271"/>
      <c r="D294" s="272"/>
      <c r="E294" s="272"/>
      <c r="F294" s="272"/>
      <c r="G294" s="272"/>
      <c r="H294" s="272"/>
      <c r="I294" s="272"/>
      <c r="J294" s="272"/>
      <c r="L294" s="283"/>
      <c r="M294" s="283"/>
      <c r="N294" s="283"/>
      <c r="O294" s="283"/>
    </row>
    <row r="295" spans="3:15" ht="15" customHeight="1">
      <c r="C295" s="271"/>
      <c r="D295" s="272"/>
      <c r="E295" s="272"/>
      <c r="F295" s="272"/>
      <c r="G295" s="272"/>
      <c r="H295" s="272"/>
      <c r="I295" s="272"/>
      <c r="J295" s="272"/>
      <c r="L295" s="283"/>
      <c r="M295" s="283"/>
      <c r="N295" s="283"/>
      <c r="O295" s="283"/>
    </row>
    <row r="296" spans="3:15" ht="15" customHeight="1">
      <c r="C296" s="271"/>
      <c r="D296" s="272"/>
      <c r="E296" s="272"/>
      <c r="F296" s="272"/>
      <c r="G296" s="272"/>
      <c r="H296" s="272"/>
      <c r="I296" s="272"/>
      <c r="J296" s="272"/>
      <c r="L296" s="283"/>
      <c r="M296" s="283"/>
      <c r="N296" s="283"/>
      <c r="O296" s="283"/>
    </row>
    <row r="297" spans="3:15" ht="15" customHeight="1">
      <c r="C297" s="271"/>
      <c r="D297" s="272"/>
      <c r="E297" s="272"/>
      <c r="F297" s="272"/>
      <c r="G297" s="272"/>
      <c r="H297" s="272"/>
      <c r="I297" s="272"/>
      <c r="J297" s="272"/>
      <c r="L297" s="283"/>
      <c r="M297" s="283"/>
      <c r="N297" s="283"/>
      <c r="O297" s="283"/>
    </row>
    <row r="298" spans="4:15" ht="15" customHeight="1">
      <c r="D298" s="272"/>
      <c r="E298" s="272"/>
      <c r="F298" s="272"/>
      <c r="G298" s="272"/>
      <c r="H298" s="272"/>
      <c r="I298" s="272"/>
      <c r="J298" s="272"/>
      <c r="L298" s="283"/>
      <c r="M298" s="283"/>
      <c r="N298" s="283"/>
      <c r="O298" s="283"/>
    </row>
    <row r="299" spans="4:15" ht="15" customHeight="1">
      <c r="D299" s="272"/>
      <c r="E299" s="272"/>
      <c r="F299" s="272"/>
      <c r="G299" s="272"/>
      <c r="H299" s="272"/>
      <c r="I299" s="272"/>
      <c r="J299" s="272"/>
      <c r="L299" s="283"/>
      <c r="M299" s="283"/>
      <c r="N299" s="283"/>
      <c r="O299" s="283"/>
    </row>
    <row r="300" spans="4:15" ht="15" customHeight="1">
      <c r="D300" s="272"/>
      <c r="E300" s="272"/>
      <c r="F300" s="272"/>
      <c r="G300" s="272"/>
      <c r="H300" s="272"/>
      <c r="I300" s="272"/>
      <c r="J300" s="272"/>
      <c r="L300" s="283"/>
      <c r="M300" s="283"/>
      <c r="N300" s="283"/>
      <c r="O300" s="283"/>
    </row>
    <row r="301" spans="4:15" ht="15" customHeight="1">
      <c r="D301" s="272"/>
      <c r="E301" s="272"/>
      <c r="F301" s="272"/>
      <c r="G301" s="272"/>
      <c r="H301" s="272"/>
      <c r="I301" s="272"/>
      <c r="J301" s="272"/>
      <c r="L301" s="283"/>
      <c r="M301" s="283"/>
      <c r="N301" s="283"/>
      <c r="O301" s="283"/>
    </row>
    <row r="302" spans="4:15" ht="15" customHeight="1">
      <c r="D302" s="272"/>
      <c r="E302" s="272"/>
      <c r="F302" s="272"/>
      <c r="G302" s="272"/>
      <c r="H302" s="272"/>
      <c r="I302" s="272"/>
      <c r="J302" s="272"/>
      <c r="L302" s="283"/>
      <c r="M302" s="283"/>
      <c r="N302" s="283"/>
      <c r="O302" s="283"/>
    </row>
    <row r="303" spans="4:15" ht="15" customHeight="1">
      <c r="D303" s="272"/>
      <c r="E303" s="272"/>
      <c r="F303" s="272"/>
      <c r="G303" s="272"/>
      <c r="H303" s="272"/>
      <c r="I303" s="272"/>
      <c r="J303" s="272"/>
      <c r="L303" s="283"/>
      <c r="M303" s="283"/>
      <c r="N303" s="283"/>
      <c r="O303" s="283"/>
    </row>
    <row r="304" spans="4:15" ht="15" customHeight="1">
      <c r="D304" s="272"/>
      <c r="E304" s="272"/>
      <c r="F304" s="272"/>
      <c r="G304" s="272"/>
      <c r="H304" s="272"/>
      <c r="I304" s="272"/>
      <c r="J304" s="272"/>
      <c r="L304" s="283"/>
      <c r="M304" s="283"/>
      <c r="N304" s="283"/>
      <c r="O304" s="283"/>
    </row>
    <row r="305" spans="4:15" ht="15" customHeight="1">
      <c r="D305" s="272"/>
      <c r="E305" s="272"/>
      <c r="F305" s="272"/>
      <c r="G305" s="272"/>
      <c r="H305" s="272"/>
      <c r="I305" s="272"/>
      <c r="J305" s="272"/>
      <c r="L305" s="283"/>
      <c r="M305" s="283"/>
      <c r="N305" s="283"/>
      <c r="O305" s="283"/>
    </row>
    <row r="306" spans="3:15" ht="15" customHeight="1">
      <c r="C306" s="272"/>
      <c r="D306" s="272"/>
      <c r="E306" s="272"/>
      <c r="F306" s="272"/>
      <c r="G306" s="272"/>
      <c r="H306" s="272"/>
      <c r="I306" s="272"/>
      <c r="J306" s="272"/>
      <c r="L306" s="283"/>
      <c r="M306" s="283"/>
      <c r="N306" s="283"/>
      <c r="O306" s="283"/>
    </row>
    <row r="307" spans="3:15" ht="15" customHeight="1">
      <c r="C307" s="272"/>
      <c r="D307" s="272"/>
      <c r="E307" s="272"/>
      <c r="F307" s="272"/>
      <c r="G307" s="272"/>
      <c r="H307" s="272"/>
      <c r="I307" s="272"/>
      <c r="J307" s="272"/>
      <c r="L307" s="283"/>
      <c r="M307" s="283"/>
      <c r="N307" s="283"/>
      <c r="O307" s="283"/>
    </row>
    <row r="308" spans="3:15" ht="15" customHeight="1">
      <c r="C308" s="272"/>
      <c r="D308" s="272"/>
      <c r="E308" s="272"/>
      <c r="F308" s="272"/>
      <c r="G308" s="272"/>
      <c r="H308" s="272"/>
      <c r="I308" s="272"/>
      <c r="J308" s="272"/>
      <c r="L308" s="283"/>
      <c r="M308" s="283"/>
      <c r="N308" s="283"/>
      <c r="O308" s="283"/>
    </row>
    <row r="309" spans="3:15" ht="15" customHeight="1">
      <c r="C309" s="272"/>
      <c r="D309" s="272"/>
      <c r="E309" s="272"/>
      <c r="F309" s="272"/>
      <c r="G309" s="272"/>
      <c r="H309" s="272"/>
      <c r="I309" s="272"/>
      <c r="J309" s="272"/>
      <c r="L309" s="283"/>
      <c r="M309" s="283"/>
      <c r="N309" s="283"/>
      <c r="O309" s="283"/>
    </row>
    <row r="310" spans="3:15" ht="15" customHeight="1">
      <c r="C310" s="272"/>
      <c r="D310" s="272"/>
      <c r="E310" s="272"/>
      <c r="F310" s="272"/>
      <c r="G310" s="272"/>
      <c r="H310" s="272"/>
      <c r="I310" s="272"/>
      <c r="J310" s="272"/>
      <c r="L310" s="283"/>
      <c r="M310" s="283"/>
      <c r="N310" s="283"/>
      <c r="O310" s="283"/>
    </row>
    <row r="311" spans="8:15" ht="15" customHeight="1">
      <c r="H311" s="272"/>
      <c r="I311" s="272"/>
      <c r="J311" s="272"/>
      <c r="L311" s="283"/>
      <c r="M311" s="283"/>
      <c r="N311" s="283"/>
      <c r="O311" s="283"/>
    </row>
    <row r="312" spans="3:15" ht="15" customHeight="1">
      <c r="C312" s="272"/>
      <c r="D312" s="272"/>
      <c r="E312" s="272"/>
      <c r="F312" s="272"/>
      <c r="G312" s="272"/>
      <c r="H312" s="272"/>
      <c r="I312" s="272"/>
      <c r="J312" s="272"/>
      <c r="L312" s="283"/>
      <c r="M312" s="283"/>
      <c r="N312" s="283"/>
      <c r="O312" s="283"/>
    </row>
    <row r="313" spans="3:15" ht="15" customHeight="1">
      <c r="C313" s="272"/>
      <c r="D313" s="272"/>
      <c r="E313" s="272"/>
      <c r="F313" s="272"/>
      <c r="G313" s="272"/>
      <c r="L313" s="283"/>
      <c r="M313" s="283"/>
      <c r="N313" s="283"/>
      <c r="O313" s="283"/>
    </row>
    <row r="314" spans="3:15" ht="15" customHeight="1">
      <c r="C314" s="272"/>
      <c r="D314" s="272"/>
      <c r="E314" s="272"/>
      <c r="F314" s="272"/>
      <c r="G314" s="272"/>
      <c r="H314" s="272"/>
      <c r="I314" s="272"/>
      <c r="J314" s="272"/>
      <c r="L314" s="283"/>
      <c r="M314" s="283"/>
      <c r="N314" s="283"/>
      <c r="O314" s="283"/>
    </row>
    <row r="315" spans="3:15" ht="15" customHeight="1">
      <c r="C315" s="272"/>
      <c r="D315" s="272"/>
      <c r="E315" s="272"/>
      <c r="F315" s="272"/>
      <c r="G315" s="272"/>
      <c r="H315" s="272"/>
      <c r="I315" s="272"/>
      <c r="J315" s="272"/>
      <c r="L315" s="283"/>
      <c r="M315" s="283"/>
      <c r="N315" s="283"/>
      <c r="O315" s="283"/>
    </row>
    <row r="316" spans="3:15" ht="15" customHeight="1">
      <c r="C316" s="272"/>
      <c r="D316" s="272"/>
      <c r="E316" s="272"/>
      <c r="F316" s="272"/>
      <c r="G316" s="272"/>
      <c r="H316" s="272"/>
      <c r="I316" s="272"/>
      <c r="J316" s="272"/>
      <c r="L316" s="283"/>
      <c r="M316" s="283"/>
      <c r="N316" s="283"/>
      <c r="O316" s="283"/>
    </row>
    <row r="317" spans="3:15" ht="15" customHeight="1">
      <c r="C317" s="272"/>
      <c r="D317" s="272"/>
      <c r="E317" s="272"/>
      <c r="F317" s="272"/>
      <c r="G317" s="272"/>
      <c r="H317" s="272"/>
      <c r="I317" s="272"/>
      <c r="J317" s="272"/>
      <c r="L317" s="283"/>
      <c r="M317" s="283"/>
      <c r="N317" s="283"/>
      <c r="O317" s="283"/>
    </row>
    <row r="318" spans="3:15" ht="15" customHeight="1">
      <c r="C318" s="272"/>
      <c r="D318" s="272"/>
      <c r="E318" s="272"/>
      <c r="F318" s="272"/>
      <c r="G318" s="272"/>
      <c r="H318" s="272"/>
      <c r="I318" s="272"/>
      <c r="J318" s="272"/>
      <c r="L318" s="283"/>
      <c r="M318" s="283"/>
      <c r="N318" s="283"/>
      <c r="O318" s="283"/>
    </row>
    <row r="319" spans="3:15" ht="15" customHeight="1">
      <c r="C319" s="272"/>
      <c r="D319" s="272"/>
      <c r="E319" s="272"/>
      <c r="F319" s="272"/>
      <c r="G319" s="272"/>
      <c r="H319" s="272"/>
      <c r="I319" s="272"/>
      <c r="J319" s="272"/>
      <c r="L319" s="283"/>
      <c r="M319" s="283"/>
      <c r="N319" s="283"/>
      <c r="O319" s="283"/>
    </row>
    <row r="320" spans="3:15" ht="15" customHeight="1">
      <c r="C320" s="272"/>
      <c r="D320" s="272"/>
      <c r="E320" s="272"/>
      <c r="F320" s="272"/>
      <c r="G320" s="272"/>
      <c r="H320" s="272"/>
      <c r="I320" s="272"/>
      <c r="J320" s="272"/>
      <c r="L320" s="283"/>
      <c r="M320" s="283"/>
      <c r="N320" s="283"/>
      <c r="O320" s="283"/>
    </row>
    <row r="321" spans="3:15" ht="15" customHeight="1">
      <c r="C321" s="272"/>
      <c r="D321" s="272"/>
      <c r="E321" s="272"/>
      <c r="F321" s="272"/>
      <c r="G321" s="272"/>
      <c r="H321" s="272"/>
      <c r="I321" s="272"/>
      <c r="J321" s="272"/>
      <c r="L321" s="283"/>
      <c r="M321" s="283"/>
      <c r="N321" s="283"/>
      <c r="O321" s="283"/>
    </row>
    <row r="322" spans="3:15" ht="15" customHeight="1">
      <c r="C322" s="272"/>
      <c r="D322" s="272"/>
      <c r="E322" s="272"/>
      <c r="F322" s="272"/>
      <c r="G322" s="272"/>
      <c r="H322" s="272"/>
      <c r="I322" s="272"/>
      <c r="J322" s="272"/>
      <c r="L322" s="283"/>
      <c r="M322" s="283"/>
      <c r="N322" s="283"/>
      <c r="O322" s="283"/>
    </row>
    <row r="323" spans="3:15" ht="15" customHeight="1">
      <c r="C323" s="272"/>
      <c r="D323" s="272"/>
      <c r="E323" s="272"/>
      <c r="F323" s="272"/>
      <c r="G323" s="272"/>
      <c r="H323" s="272"/>
      <c r="I323" s="272"/>
      <c r="J323" s="272"/>
      <c r="L323" s="283"/>
      <c r="M323" s="283"/>
      <c r="N323" s="283"/>
      <c r="O323" s="283"/>
    </row>
    <row r="324" spans="3:15" ht="15" customHeight="1">
      <c r="C324" s="272"/>
      <c r="D324" s="272"/>
      <c r="E324" s="272"/>
      <c r="F324" s="272"/>
      <c r="G324" s="272"/>
      <c r="H324" s="272"/>
      <c r="I324" s="272"/>
      <c r="J324" s="272"/>
      <c r="L324" s="283"/>
      <c r="M324" s="283"/>
      <c r="N324" s="283"/>
      <c r="O324" s="283"/>
    </row>
    <row r="325" spans="3:15" ht="15" customHeight="1">
      <c r="C325" s="272"/>
      <c r="D325" s="272"/>
      <c r="E325" s="272"/>
      <c r="F325" s="272"/>
      <c r="G325" s="272"/>
      <c r="H325" s="272"/>
      <c r="I325" s="272"/>
      <c r="J325" s="272"/>
      <c r="L325" s="283"/>
      <c r="M325" s="283"/>
      <c r="N325" s="283"/>
      <c r="O325" s="283"/>
    </row>
    <row r="326" spans="3:15" ht="15" customHeight="1">
      <c r="C326" s="272"/>
      <c r="D326" s="272"/>
      <c r="E326" s="272"/>
      <c r="F326" s="272"/>
      <c r="G326" s="272"/>
      <c r="H326" s="272"/>
      <c r="I326" s="272"/>
      <c r="J326" s="272"/>
      <c r="L326" s="283"/>
      <c r="M326" s="283"/>
      <c r="N326" s="283"/>
      <c r="O326" s="283"/>
    </row>
    <row r="327" spans="3:15" ht="15" customHeight="1">
      <c r="C327" s="272"/>
      <c r="D327" s="272"/>
      <c r="E327" s="272"/>
      <c r="F327" s="272"/>
      <c r="G327" s="272"/>
      <c r="H327" s="272"/>
      <c r="I327" s="272"/>
      <c r="J327" s="272"/>
      <c r="L327" s="283"/>
      <c r="M327" s="283"/>
      <c r="N327" s="283"/>
      <c r="O327" s="283"/>
    </row>
    <row r="328" spans="3:15" ht="15" customHeight="1">
      <c r="C328" s="272"/>
      <c r="D328" s="272"/>
      <c r="E328" s="272"/>
      <c r="F328" s="272"/>
      <c r="G328" s="272"/>
      <c r="H328" s="272"/>
      <c r="I328" s="272"/>
      <c r="J328" s="272"/>
      <c r="L328" s="283"/>
      <c r="M328" s="283"/>
      <c r="N328" s="283"/>
      <c r="O328" s="283"/>
    </row>
    <row r="329" spans="3:15" ht="15" customHeight="1">
      <c r="C329" s="272"/>
      <c r="D329" s="272"/>
      <c r="E329" s="272"/>
      <c r="F329" s="272"/>
      <c r="G329" s="272"/>
      <c r="H329" s="272"/>
      <c r="I329" s="272"/>
      <c r="J329" s="272"/>
      <c r="L329" s="283"/>
      <c r="M329" s="283"/>
      <c r="N329" s="283"/>
      <c r="O329" s="283"/>
    </row>
    <row r="330" spans="3:15" ht="15" customHeight="1">
      <c r="C330" s="272"/>
      <c r="D330" s="272"/>
      <c r="E330" s="272"/>
      <c r="F330" s="272"/>
      <c r="G330" s="272"/>
      <c r="H330" s="272"/>
      <c r="I330" s="272"/>
      <c r="J330" s="272"/>
      <c r="L330" s="283"/>
      <c r="M330" s="283"/>
      <c r="N330" s="283"/>
      <c r="O330" s="283"/>
    </row>
    <row r="331" spans="3:15" ht="15" customHeight="1">
      <c r="C331" s="272"/>
      <c r="D331" s="272"/>
      <c r="E331" s="272"/>
      <c r="F331" s="272"/>
      <c r="G331" s="272"/>
      <c r="H331" s="272"/>
      <c r="I331" s="272"/>
      <c r="J331" s="272"/>
      <c r="L331" s="283"/>
      <c r="M331" s="283"/>
      <c r="N331" s="283"/>
      <c r="O331" s="283"/>
    </row>
    <row r="332" spans="3:15" ht="15" customHeight="1">
      <c r="C332" s="272"/>
      <c r="D332" s="272"/>
      <c r="E332" s="272"/>
      <c r="F332" s="272"/>
      <c r="G332" s="272"/>
      <c r="H332" s="272"/>
      <c r="I332" s="272"/>
      <c r="J332" s="272"/>
      <c r="L332" s="283"/>
      <c r="M332" s="283"/>
      <c r="N332" s="283"/>
      <c r="O332" s="283"/>
    </row>
    <row r="333" spans="3:15" ht="15" customHeight="1">
      <c r="C333" s="272"/>
      <c r="D333" s="272"/>
      <c r="E333" s="272"/>
      <c r="F333" s="272"/>
      <c r="G333" s="272"/>
      <c r="H333" s="272"/>
      <c r="I333" s="272"/>
      <c r="J333" s="272"/>
      <c r="L333" s="283"/>
      <c r="M333" s="283"/>
      <c r="N333" s="283"/>
      <c r="O333" s="283"/>
    </row>
    <row r="334" spans="3:15" ht="15" customHeight="1">
      <c r="C334" s="272"/>
      <c r="D334" s="272"/>
      <c r="E334" s="272"/>
      <c r="F334" s="272"/>
      <c r="G334" s="272"/>
      <c r="H334" s="272"/>
      <c r="I334" s="272"/>
      <c r="J334" s="272"/>
      <c r="L334" s="283"/>
      <c r="M334" s="283"/>
      <c r="N334" s="283"/>
      <c r="O334" s="283"/>
    </row>
    <row r="335" spans="3:15" ht="15" customHeight="1">
      <c r="C335" s="272"/>
      <c r="D335" s="272"/>
      <c r="E335" s="272"/>
      <c r="F335" s="272"/>
      <c r="G335" s="272"/>
      <c r="H335" s="272"/>
      <c r="I335" s="272"/>
      <c r="J335" s="272"/>
      <c r="L335" s="283"/>
      <c r="M335" s="283"/>
      <c r="N335" s="283"/>
      <c r="O335" s="283"/>
    </row>
    <row r="336" spans="3:15" ht="15" customHeight="1">
      <c r="C336" s="272"/>
      <c r="D336" s="272"/>
      <c r="E336" s="272"/>
      <c r="F336" s="272"/>
      <c r="G336" s="272"/>
      <c r="H336" s="272"/>
      <c r="I336" s="272"/>
      <c r="J336" s="272"/>
      <c r="L336" s="283"/>
      <c r="M336" s="283"/>
      <c r="N336" s="283"/>
      <c r="O336" s="283"/>
    </row>
    <row r="337" spans="3:15" ht="15" customHeight="1">
      <c r="C337" s="272"/>
      <c r="D337" s="272"/>
      <c r="E337" s="272"/>
      <c r="F337" s="272"/>
      <c r="G337" s="272"/>
      <c r="H337" s="272"/>
      <c r="I337" s="272"/>
      <c r="J337" s="272"/>
      <c r="L337" s="283"/>
      <c r="M337" s="283"/>
      <c r="N337" s="283"/>
      <c r="O337" s="283"/>
    </row>
    <row r="338" spans="3:15" ht="15" customHeight="1">
      <c r="C338" s="272"/>
      <c r="D338" s="272"/>
      <c r="E338" s="272"/>
      <c r="F338" s="272"/>
      <c r="G338" s="272"/>
      <c r="H338" s="272"/>
      <c r="I338" s="272"/>
      <c r="J338" s="272"/>
      <c r="L338" s="283"/>
      <c r="M338" s="283"/>
      <c r="N338" s="283"/>
      <c r="O338" s="283"/>
    </row>
    <row r="339" spans="3:15" ht="15" customHeight="1">
      <c r="C339" s="272"/>
      <c r="D339" s="272"/>
      <c r="E339" s="272"/>
      <c r="F339" s="272"/>
      <c r="G339" s="272"/>
      <c r="H339" s="272"/>
      <c r="I339" s="272"/>
      <c r="J339" s="272"/>
      <c r="L339" s="283"/>
      <c r="M339" s="283"/>
      <c r="N339" s="283"/>
      <c r="O339" s="283"/>
    </row>
    <row r="340" spans="3:15" ht="15" customHeight="1">
      <c r="C340" s="272"/>
      <c r="D340" s="272"/>
      <c r="E340" s="272"/>
      <c r="F340" s="272"/>
      <c r="G340" s="272"/>
      <c r="H340" s="272"/>
      <c r="I340" s="272"/>
      <c r="J340" s="272"/>
      <c r="L340" s="283"/>
      <c r="M340" s="283"/>
      <c r="N340" s="283"/>
      <c r="O340" s="283"/>
    </row>
    <row r="341" spans="3:15" ht="15" customHeight="1">
      <c r="C341" s="272"/>
      <c r="D341" s="272"/>
      <c r="E341" s="272"/>
      <c r="F341" s="272"/>
      <c r="G341" s="272"/>
      <c r="H341" s="272"/>
      <c r="I341" s="272"/>
      <c r="J341" s="272"/>
      <c r="L341" s="283"/>
      <c r="M341" s="283"/>
      <c r="N341" s="283"/>
      <c r="O341" s="283"/>
    </row>
    <row r="342" spans="3:15" ht="15" customHeight="1">
      <c r="C342" s="272"/>
      <c r="D342" s="272"/>
      <c r="E342" s="272"/>
      <c r="F342" s="272"/>
      <c r="G342" s="272"/>
      <c r="H342" s="272"/>
      <c r="I342" s="272"/>
      <c r="J342" s="272"/>
      <c r="L342" s="283"/>
      <c r="M342" s="283"/>
      <c r="N342" s="283"/>
      <c r="O342" s="283"/>
    </row>
    <row r="343" spans="3:15" ht="15" customHeight="1">
      <c r="C343" s="272"/>
      <c r="D343" s="272"/>
      <c r="E343" s="272"/>
      <c r="F343" s="272"/>
      <c r="G343" s="272"/>
      <c r="H343" s="272"/>
      <c r="I343" s="272"/>
      <c r="J343" s="272"/>
      <c r="L343" s="283"/>
      <c r="M343" s="283"/>
      <c r="N343" s="283"/>
      <c r="O343" s="283"/>
    </row>
    <row r="344" spans="3:15" ht="15" customHeight="1">
      <c r="C344" s="272"/>
      <c r="D344" s="272"/>
      <c r="E344" s="272"/>
      <c r="F344" s="272"/>
      <c r="G344" s="272"/>
      <c r="H344" s="272"/>
      <c r="I344" s="272"/>
      <c r="J344" s="272"/>
      <c r="L344" s="283"/>
      <c r="M344" s="283"/>
      <c r="N344" s="283"/>
      <c r="O344" s="283"/>
    </row>
    <row r="345" spans="3:15" ht="15" customHeight="1">
      <c r="C345" s="272"/>
      <c r="D345" s="272"/>
      <c r="E345" s="272"/>
      <c r="F345" s="272"/>
      <c r="G345" s="272"/>
      <c r="H345" s="272"/>
      <c r="I345" s="272"/>
      <c r="J345" s="272"/>
      <c r="L345" s="283"/>
      <c r="M345" s="283"/>
      <c r="N345" s="283"/>
      <c r="O345" s="283"/>
    </row>
    <row r="346" spans="3:15" ht="15" customHeight="1">
      <c r="C346" s="272"/>
      <c r="D346" s="272"/>
      <c r="E346" s="272"/>
      <c r="F346" s="272"/>
      <c r="G346" s="272"/>
      <c r="H346" s="272"/>
      <c r="I346" s="272"/>
      <c r="J346" s="272"/>
      <c r="L346" s="283"/>
      <c r="M346" s="283"/>
      <c r="N346" s="283"/>
      <c r="O346" s="283"/>
    </row>
    <row r="347" spans="3:15" ht="15" customHeight="1">
      <c r="C347" s="272"/>
      <c r="D347" s="272"/>
      <c r="E347" s="272"/>
      <c r="F347" s="272"/>
      <c r="G347" s="272"/>
      <c r="H347" s="272"/>
      <c r="I347" s="272"/>
      <c r="J347" s="272"/>
      <c r="L347" s="283"/>
      <c r="M347" s="283"/>
      <c r="N347" s="283"/>
      <c r="O347" s="283"/>
    </row>
    <row r="348" spans="3:15" ht="15" customHeight="1">
      <c r="C348" s="272"/>
      <c r="D348" s="272"/>
      <c r="E348" s="272"/>
      <c r="F348" s="272"/>
      <c r="G348" s="272"/>
      <c r="H348" s="272"/>
      <c r="I348" s="272"/>
      <c r="J348" s="272"/>
      <c r="L348" s="283"/>
      <c r="M348" s="283"/>
      <c r="N348" s="283"/>
      <c r="O348" s="283"/>
    </row>
    <row r="349" spans="3:15" ht="15" customHeight="1">
      <c r="C349" s="272"/>
      <c r="D349" s="272"/>
      <c r="E349" s="272"/>
      <c r="F349" s="272"/>
      <c r="G349" s="272"/>
      <c r="H349" s="272"/>
      <c r="I349" s="272"/>
      <c r="J349" s="272"/>
      <c r="L349" s="283"/>
      <c r="M349" s="283"/>
      <c r="N349" s="283"/>
      <c r="O349" s="283"/>
    </row>
    <row r="350" spans="3:15" ht="15" customHeight="1">
      <c r="C350" s="272"/>
      <c r="D350" s="272"/>
      <c r="E350" s="272"/>
      <c r="F350" s="272"/>
      <c r="G350" s="272"/>
      <c r="H350" s="272"/>
      <c r="I350" s="272"/>
      <c r="J350" s="272"/>
      <c r="L350" s="283"/>
      <c r="M350" s="283"/>
      <c r="N350" s="283"/>
      <c r="O350" s="283"/>
    </row>
    <row r="351" spans="3:15" ht="15" customHeight="1">
      <c r="C351" s="272"/>
      <c r="D351" s="272"/>
      <c r="E351" s="272"/>
      <c r="F351" s="272"/>
      <c r="G351" s="272"/>
      <c r="H351" s="272"/>
      <c r="I351" s="272"/>
      <c r="J351" s="272"/>
      <c r="L351" s="283"/>
      <c r="M351" s="283"/>
      <c r="N351" s="283"/>
      <c r="O351" s="283"/>
    </row>
    <row r="352" spans="3:15" ht="15" customHeight="1">
      <c r="C352" s="272"/>
      <c r="D352" s="272"/>
      <c r="E352" s="272"/>
      <c r="F352" s="272"/>
      <c r="G352" s="272"/>
      <c r="H352" s="272"/>
      <c r="I352" s="272"/>
      <c r="J352" s="272"/>
      <c r="L352" s="283"/>
      <c r="M352" s="283"/>
      <c r="N352" s="283"/>
      <c r="O352" s="283"/>
    </row>
    <row r="353" spans="3:15" ht="15" customHeight="1">
      <c r="C353" s="272"/>
      <c r="D353" s="272"/>
      <c r="E353" s="272"/>
      <c r="F353" s="272"/>
      <c r="G353" s="272"/>
      <c r="H353" s="272"/>
      <c r="I353" s="272"/>
      <c r="J353" s="272"/>
      <c r="L353" s="283"/>
      <c r="M353" s="283"/>
      <c r="N353" s="283"/>
      <c r="O353" s="283"/>
    </row>
    <row r="354" spans="3:15" ht="15" customHeight="1">
      <c r="C354" s="272"/>
      <c r="D354" s="272"/>
      <c r="E354" s="272"/>
      <c r="F354" s="272"/>
      <c r="G354" s="272"/>
      <c r="H354" s="272"/>
      <c r="I354" s="272"/>
      <c r="J354" s="272"/>
      <c r="L354" s="283"/>
      <c r="M354" s="283"/>
      <c r="N354" s="283"/>
      <c r="O354" s="283"/>
    </row>
    <row r="355" spans="3:15" ht="15" customHeight="1">
      <c r="C355" s="272"/>
      <c r="D355" s="272"/>
      <c r="E355" s="272"/>
      <c r="F355" s="272"/>
      <c r="G355" s="272"/>
      <c r="H355" s="272"/>
      <c r="I355" s="272"/>
      <c r="J355" s="272"/>
      <c r="L355" s="283"/>
      <c r="M355" s="283"/>
      <c r="N355" s="283"/>
      <c r="O355" s="283"/>
    </row>
    <row r="356" spans="3:15" ht="15" customHeight="1">
      <c r="C356" s="272"/>
      <c r="D356" s="272"/>
      <c r="E356" s="272"/>
      <c r="F356" s="272"/>
      <c r="G356" s="272"/>
      <c r="H356" s="272"/>
      <c r="I356" s="272"/>
      <c r="J356" s="272"/>
      <c r="L356" s="283"/>
      <c r="M356" s="283"/>
      <c r="N356" s="283"/>
      <c r="O356" s="283"/>
    </row>
    <row r="357" spans="3:15" ht="15" customHeight="1">
      <c r="C357" s="272"/>
      <c r="D357" s="272"/>
      <c r="E357" s="272"/>
      <c r="F357" s="272"/>
      <c r="G357" s="272"/>
      <c r="H357" s="272"/>
      <c r="I357" s="272"/>
      <c r="J357" s="272"/>
      <c r="L357" s="283"/>
      <c r="M357" s="283"/>
      <c r="N357" s="283"/>
      <c r="O357" s="283"/>
    </row>
    <row r="358" spans="3:15" ht="15" customHeight="1">
      <c r="C358" s="272"/>
      <c r="D358" s="272"/>
      <c r="E358" s="272"/>
      <c r="F358" s="272"/>
      <c r="G358" s="272"/>
      <c r="H358" s="272"/>
      <c r="I358" s="272"/>
      <c r="J358" s="272"/>
      <c r="L358" s="283"/>
      <c r="M358" s="283"/>
      <c r="N358" s="283"/>
      <c r="O358" s="283"/>
    </row>
    <row r="359" spans="3:15" ht="15" customHeight="1">
      <c r="C359" s="272"/>
      <c r="D359" s="272"/>
      <c r="E359" s="272"/>
      <c r="F359" s="272"/>
      <c r="G359" s="272"/>
      <c r="H359" s="272"/>
      <c r="I359" s="272"/>
      <c r="J359" s="272"/>
      <c r="L359" s="283"/>
      <c r="M359" s="283"/>
      <c r="N359" s="283"/>
      <c r="O359" s="283"/>
    </row>
    <row r="360" spans="3:15" ht="15" customHeight="1">
      <c r="C360" s="272"/>
      <c r="D360" s="272"/>
      <c r="E360" s="272"/>
      <c r="F360" s="272"/>
      <c r="G360" s="272"/>
      <c r="H360" s="272"/>
      <c r="I360" s="272"/>
      <c r="J360" s="272"/>
      <c r="L360" s="283"/>
      <c r="M360" s="283"/>
      <c r="N360" s="283"/>
      <c r="O360" s="283"/>
    </row>
    <row r="361" spans="3:15" ht="15" customHeight="1">
      <c r="C361" s="272"/>
      <c r="D361" s="272"/>
      <c r="E361" s="272"/>
      <c r="F361" s="272"/>
      <c r="G361" s="272"/>
      <c r="H361" s="272"/>
      <c r="I361" s="272"/>
      <c r="J361" s="272"/>
      <c r="L361" s="283"/>
      <c r="M361" s="283"/>
      <c r="N361" s="283"/>
      <c r="O361" s="283"/>
    </row>
    <row r="362" spans="3:15" ht="15" customHeight="1">
      <c r="C362" s="272"/>
      <c r="D362" s="272"/>
      <c r="E362" s="272"/>
      <c r="F362" s="272"/>
      <c r="G362" s="272"/>
      <c r="H362" s="272"/>
      <c r="I362" s="272"/>
      <c r="J362" s="272"/>
      <c r="L362" s="283"/>
      <c r="M362" s="283"/>
      <c r="N362" s="283"/>
      <c r="O362" s="283"/>
    </row>
    <row r="363" spans="3:15" ht="15" customHeight="1">
      <c r="C363" s="272"/>
      <c r="D363" s="272"/>
      <c r="E363" s="272"/>
      <c r="F363" s="272"/>
      <c r="G363" s="272"/>
      <c r="H363" s="272"/>
      <c r="I363" s="272"/>
      <c r="J363" s="272"/>
      <c r="L363" s="283"/>
      <c r="M363" s="283"/>
      <c r="N363" s="283"/>
      <c r="O363" s="283"/>
    </row>
    <row r="364" spans="3:15" ht="15" customHeight="1">
      <c r="C364" s="272"/>
      <c r="D364" s="272"/>
      <c r="E364" s="272"/>
      <c r="F364" s="272"/>
      <c r="G364" s="272"/>
      <c r="H364" s="272"/>
      <c r="I364" s="272"/>
      <c r="J364" s="272"/>
      <c r="L364" s="283"/>
      <c r="M364" s="283"/>
      <c r="N364" s="283"/>
      <c r="O364" s="283"/>
    </row>
    <row r="365" spans="3:15" ht="15" customHeight="1">
      <c r="C365" s="272"/>
      <c r="D365" s="272"/>
      <c r="E365" s="272"/>
      <c r="F365" s="272"/>
      <c r="G365" s="272"/>
      <c r="H365" s="272"/>
      <c r="I365" s="272"/>
      <c r="J365" s="272"/>
      <c r="L365" s="283"/>
      <c r="M365" s="283"/>
      <c r="N365" s="283"/>
      <c r="O365" s="283"/>
    </row>
    <row r="366" spans="3:15" ht="15" customHeight="1">
      <c r="C366" s="272"/>
      <c r="D366" s="272"/>
      <c r="E366" s="272"/>
      <c r="F366" s="272"/>
      <c r="G366" s="272"/>
      <c r="H366" s="272"/>
      <c r="I366" s="272"/>
      <c r="J366" s="272"/>
      <c r="L366" s="283"/>
      <c r="M366" s="283"/>
      <c r="N366" s="283"/>
      <c r="O366" s="283"/>
    </row>
    <row r="367" spans="3:15" ht="15" customHeight="1">
      <c r="C367" s="272"/>
      <c r="D367" s="272"/>
      <c r="E367" s="272"/>
      <c r="F367" s="272"/>
      <c r="G367" s="272"/>
      <c r="H367" s="272"/>
      <c r="I367" s="272"/>
      <c r="J367" s="272"/>
      <c r="L367" s="283"/>
      <c r="M367" s="283"/>
      <c r="N367" s="283"/>
      <c r="O367" s="283"/>
    </row>
    <row r="368" spans="3:15" ht="15" customHeight="1">
      <c r="C368" s="272"/>
      <c r="D368" s="272"/>
      <c r="E368" s="272"/>
      <c r="F368" s="272"/>
      <c r="G368" s="272"/>
      <c r="H368" s="272"/>
      <c r="I368" s="272"/>
      <c r="J368" s="272"/>
      <c r="L368" s="283"/>
      <c r="M368" s="283"/>
      <c r="N368" s="283"/>
      <c r="O368" s="283"/>
    </row>
    <row r="369" spans="3:15" ht="15" customHeight="1">
      <c r="C369" s="272"/>
      <c r="D369" s="272"/>
      <c r="E369" s="272"/>
      <c r="F369" s="272"/>
      <c r="G369" s="272"/>
      <c r="H369" s="272"/>
      <c r="I369" s="272"/>
      <c r="J369" s="272"/>
      <c r="L369" s="283"/>
      <c r="M369" s="283"/>
      <c r="N369" s="283"/>
      <c r="O369" s="283"/>
    </row>
    <row r="370" spans="3:15" ht="15" customHeight="1">
      <c r="C370" s="272"/>
      <c r="D370" s="272"/>
      <c r="E370" s="272"/>
      <c r="F370" s="272"/>
      <c r="G370" s="272"/>
      <c r="H370" s="272"/>
      <c r="I370" s="272"/>
      <c r="J370" s="272"/>
      <c r="L370" s="283"/>
      <c r="M370" s="283"/>
      <c r="N370" s="283"/>
      <c r="O370" s="283"/>
    </row>
    <row r="371" spans="3:15" ht="15" customHeight="1">
      <c r="C371" s="272"/>
      <c r="D371" s="272"/>
      <c r="E371" s="272"/>
      <c r="F371" s="272"/>
      <c r="G371" s="272"/>
      <c r="H371" s="272"/>
      <c r="I371" s="272"/>
      <c r="J371" s="272"/>
      <c r="L371" s="283"/>
      <c r="M371" s="283"/>
      <c r="N371" s="283"/>
      <c r="O371" s="283"/>
    </row>
    <row r="372" spans="3:15" ht="15" customHeight="1">
      <c r="C372" s="272"/>
      <c r="D372" s="272"/>
      <c r="E372" s="272"/>
      <c r="F372" s="272"/>
      <c r="G372" s="272"/>
      <c r="H372" s="272"/>
      <c r="I372" s="272"/>
      <c r="J372" s="272"/>
      <c r="L372" s="283"/>
      <c r="M372" s="283"/>
      <c r="N372" s="283"/>
      <c r="O372" s="283"/>
    </row>
    <row r="373" spans="3:15" ht="15" customHeight="1">
      <c r="C373" s="272"/>
      <c r="D373" s="272"/>
      <c r="E373" s="272"/>
      <c r="F373" s="272"/>
      <c r="G373" s="272"/>
      <c r="H373" s="272"/>
      <c r="I373" s="272"/>
      <c r="J373" s="272"/>
      <c r="L373" s="283"/>
      <c r="M373" s="283"/>
      <c r="N373" s="283"/>
      <c r="O373" s="283"/>
    </row>
    <row r="374" spans="3:15" ht="15" customHeight="1">
      <c r="C374" s="272"/>
      <c r="D374" s="272"/>
      <c r="E374" s="272"/>
      <c r="F374" s="272"/>
      <c r="G374" s="272"/>
      <c r="H374" s="272"/>
      <c r="I374" s="272"/>
      <c r="J374" s="272"/>
      <c r="L374" s="283"/>
      <c r="M374" s="283"/>
      <c r="N374" s="283"/>
      <c r="O374" s="283"/>
    </row>
    <row r="375" spans="3:15" ht="15" customHeight="1">
      <c r="C375" s="272"/>
      <c r="D375" s="272"/>
      <c r="E375" s="272"/>
      <c r="F375" s="272"/>
      <c r="G375" s="272"/>
      <c r="H375" s="272"/>
      <c r="I375" s="272"/>
      <c r="J375" s="272"/>
      <c r="L375" s="283"/>
      <c r="M375" s="283"/>
      <c r="N375" s="283"/>
      <c r="O375" s="283"/>
    </row>
    <row r="376" spans="3:15" ht="15" customHeight="1">
      <c r="C376" s="272"/>
      <c r="D376" s="272"/>
      <c r="E376" s="272"/>
      <c r="F376" s="272"/>
      <c r="G376" s="272"/>
      <c r="H376" s="272"/>
      <c r="I376" s="272"/>
      <c r="J376" s="272"/>
      <c r="L376" s="283"/>
      <c r="M376" s="283"/>
      <c r="N376" s="283"/>
      <c r="O376" s="283"/>
    </row>
    <row r="377" spans="3:15" ht="15" customHeight="1">
      <c r="C377" s="272"/>
      <c r="D377" s="272"/>
      <c r="E377" s="272"/>
      <c r="F377" s="272"/>
      <c r="G377" s="272"/>
      <c r="H377" s="272"/>
      <c r="I377" s="272"/>
      <c r="J377" s="272"/>
      <c r="L377" s="283"/>
      <c r="M377" s="283"/>
      <c r="N377" s="283"/>
      <c r="O377" s="283"/>
    </row>
    <row r="378" spans="3:15" ht="15" customHeight="1">
      <c r="C378" s="272"/>
      <c r="D378" s="272"/>
      <c r="E378" s="272"/>
      <c r="F378" s="272"/>
      <c r="G378" s="272"/>
      <c r="H378" s="272"/>
      <c r="I378" s="272"/>
      <c r="J378" s="272"/>
      <c r="L378" s="283"/>
      <c r="M378" s="283"/>
      <c r="N378" s="283"/>
      <c r="O378" s="283"/>
    </row>
    <row r="379" spans="3:15" ht="15" customHeight="1">
      <c r="C379" s="272"/>
      <c r="D379" s="272"/>
      <c r="E379" s="272"/>
      <c r="F379" s="272"/>
      <c r="G379" s="272"/>
      <c r="H379" s="272"/>
      <c r="I379" s="272"/>
      <c r="J379" s="272"/>
      <c r="L379" s="283"/>
      <c r="M379" s="283"/>
      <c r="N379" s="283"/>
      <c r="O379" s="283"/>
    </row>
    <row r="380" spans="3:15" ht="15" customHeight="1">
      <c r="C380" s="272"/>
      <c r="D380" s="272"/>
      <c r="E380" s="272"/>
      <c r="F380" s="272"/>
      <c r="G380" s="272"/>
      <c r="H380" s="272"/>
      <c r="I380" s="272"/>
      <c r="J380" s="272"/>
      <c r="L380" s="283"/>
      <c r="M380" s="283"/>
      <c r="N380" s="283"/>
      <c r="O380" s="283"/>
    </row>
    <row r="381" spans="3:15" ht="15" customHeight="1">
      <c r="C381" s="272"/>
      <c r="D381" s="272"/>
      <c r="E381" s="272"/>
      <c r="F381" s="272"/>
      <c r="G381" s="272"/>
      <c r="H381" s="272"/>
      <c r="I381" s="272"/>
      <c r="J381" s="272"/>
      <c r="L381" s="283"/>
      <c r="M381" s="283"/>
      <c r="N381" s="283"/>
      <c r="O381" s="283"/>
    </row>
    <row r="382" spans="3:15" ht="15" customHeight="1">
      <c r="C382" s="272"/>
      <c r="D382" s="272"/>
      <c r="E382" s="272"/>
      <c r="F382" s="272"/>
      <c r="G382" s="272"/>
      <c r="H382" s="272"/>
      <c r="I382" s="272"/>
      <c r="J382" s="272"/>
      <c r="L382" s="283"/>
      <c r="M382" s="283"/>
      <c r="N382" s="283"/>
      <c r="O382" s="283"/>
    </row>
    <row r="383" spans="3:15" ht="15" customHeight="1">
      <c r="C383" s="272"/>
      <c r="D383" s="272"/>
      <c r="E383" s="272"/>
      <c r="F383" s="272"/>
      <c r="G383" s="272"/>
      <c r="H383" s="272"/>
      <c r="I383" s="272"/>
      <c r="J383" s="272"/>
      <c r="L383" s="283"/>
      <c r="M383" s="283"/>
      <c r="N383" s="283"/>
      <c r="O383" s="283"/>
    </row>
    <row r="384" spans="3:15" ht="15" customHeight="1">
      <c r="C384" s="272"/>
      <c r="D384" s="272"/>
      <c r="E384" s="272"/>
      <c r="F384" s="272"/>
      <c r="G384" s="272"/>
      <c r="H384" s="272"/>
      <c r="I384" s="272"/>
      <c r="J384" s="272"/>
      <c r="L384" s="283"/>
      <c r="M384" s="283"/>
      <c r="N384" s="283"/>
      <c r="O384" s="283"/>
    </row>
    <row r="385" spans="3:15" ht="15" customHeight="1">
      <c r="C385" s="272"/>
      <c r="D385" s="272"/>
      <c r="E385" s="272"/>
      <c r="F385" s="272"/>
      <c r="G385" s="272"/>
      <c r="H385" s="272"/>
      <c r="I385" s="272"/>
      <c r="J385" s="272"/>
      <c r="L385" s="283"/>
      <c r="M385" s="283"/>
      <c r="N385" s="283"/>
      <c r="O385" s="283"/>
    </row>
    <row r="386" spans="3:15" ht="15" customHeight="1">
      <c r="C386" s="272"/>
      <c r="D386" s="272"/>
      <c r="E386" s="272"/>
      <c r="F386" s="272"/>
      <c r="G386" s="272"/>
      <c r="H386" s="272"/>
      <c r="I386" s="272"/>
      <c r="J386" s="272"/>
      <c r="L386" s="330"/>
      <c r="M386" s="330"/>
      <c r="N386" s="330"/>
      <c r="O386" s="330"/>
    </row>
    <row r="387" spans="3:15" ht="15" customHeight="1">
      <c r="C387" s="272"/>
      <c r="D387" s="272"/>
      <c r="E387" s="272"/>
      <c r="F387" s="272"/>
      <c r="G387" s="272"/>
      <c r="H387" s="272"/>
      <c r="I387" s="272"/>
      <c r="J387" s="272"/>
      <c r="L387" s="330"/>
      <c r="M387" s="330"/>
      <c r="N387" s="330"/>
      <c r="O387" s="330"/>
    </row>
    <row r="388" spans="3:15" ht="15" customHeight="1">
      <c r="C388" s="272"/>
      <c r="D388" s="272"/>
      <c r="E388" s="272"/>
      <c r="F388" s="272"/>
      <c r="G388" s="272"/>
      <c r="H388" s="272"/>
      <c r="I388" s="272"/>
      <c r="J388" s="272"/>
      <c r="L388" s="330"/>
      <c r="M388" s="330"/>
      <c r="N388" s="330"/>
      <c r="O388" s="330"/>
    </row>
    <row r="389" spans="3:15" ht="15" customHeight="1">
      <c r="C389" s="272"/>
      <c r="D389" s="272"/>
      <c r="E389" s="272"/>
      <c r="F389" s="272"/>
      <c r="G389" s="272"/>
      <c r="H389" s="272"/>
      <c r="I389" s="272"/>
      <c r="J389" s="272"/>
      <c r="L389" s="330"/>
      <c r="M389" s="330"/>
      <c r="N389" s="330"/>
      <c r="O389" s="330"/>
    </row>
    <row r="390" spans="3:15" ht="15" customHeight="1">
      <c r="C390" s="272"/>
      <c r="D390" s="272"/>
      <c r="E390" s="272"/>
      <c r="F390" s="272"/>
      <c r="G390" s="272"/>
      <c r="H390" s="272"/>
      <c r="I390" s="272"/>
      <c r="J390" s="272"/>
      <c r="L390" s="330"/>
      <c r="M390" s="330"/>
      <c r="N390" s="330"/>
      <c r="O390" s="330"/>
    </row>
    <row r="391" spans="3:15" ht="15" customHeight="1">
      <c r="C391" s="272"/>
      <c r="D391" s="272"/>
      <c r="E391" s="272"/>
      <c r="F391" s="272"/>
      <c r="G391" s="272"/>
      <c r="H391" s="272"/>
      <c r="I391" s="272"/>
      <c r="J391" s="272"/>
      <c r="L391" s="330"/>
      <c r="M391" s="330"/>
      <c r="N391" s="330"/>
      <c r="O391" s="330"/>
    </row>
    <row r="392" spans="3:15" ht="15" customHeight="1">
      <c r="C392" s="272"/>
      <c r="D392" s="272"/>
      <c r="E392" s="272"/>
      <c r="F392" s="272"/>
      <c r="G392" s="272"/>
      <c r="H392" s="272"/>
      <c r="I392" s="272"/>
      <c r="J392" s="272"/>
      <c r="L392" s="330"/>
      <c r="M392" s="330"/>
      <c r="N392" s="330"/>
      <c r="O392" s="330"/>
    </row>
    <row r="393" spans="3:15" ht="15" customHeight="1">
      <c r="C393" s="272"/>
      <c r="D393" s="272"/>
      <c r="E393" s="272"/>
      <c r="F393" s="272"/>
      <c r="G393" s="272"/>
      <c r="H393" s="272"/>
      <c r="I393" s="272"/>
      <c r="J393" s="272"/>
      <c r="L393" s="330"/>
      <c r="M393" s="330"/>
      <c r="N393" s="330"/>
      <c r="O393" s="330"/>
    </row>
    <row r="394" spans="3:15" ht="15" customHeight="1">
      <c r="C394" s="272"/>
      <c r="D394" s="272"/>
      <c r="E394" s="272"/>
      <c r="F394" s="272"/>
      <c r="G394" s="272"/>
      <c r="H394" s="272"/>
      <c r="I394" s="272"/>
      <c r="J394" s="272"/>
      <c r="L394" s="330"/>
      <c r="M394" s="330"/>
      <c r="N394" s="330"/>
      <c r="O394" s="330"/>
    </row>
    <row r="395" spans="3:15" ht="15" customHeight="1">
      <c r="C395" s="272"/>
      <c r="D395" s="272"/>
      <c r="E395" s="272"/>
      <c r="F395" s="272"/>
      <c r="G395" s="272"/>
      <c r="H395" s="272"/>
      <c r="I395" s="272"/>
      <c r="J395" s="272"/>
      <c r="L395" s="330"/>
      <c r="M395" s="330"/>
      <c r="N395" s="330"/>
      <c r="O395" s="330"/>
    </row>
    <row r="396" spans="3:15" ht="15" customHeight="1">
      <c r="C396" s="272"/>
      <c r="D396" s="272"/>
      <c r="E396" s="272"/>
      <c r="F396" s="272"/>
      <c r="G396" s="272"/>
      <c r="H396" s="272"/>
      <c r="I396" s="272"/>
      <c r="J396" s="272"/>
      <c r="L396" s="330"/>
      <c r="M396" s="330"/>
      <c r="N396" s="330"/>
      <c r="O396" s="330"/>
    </row>
    <row r="397" spans="3:15" ht="15" customHeight="1">
      <c r="C397" s="272"/>
      <c r="D397" s="272"/>
      <c r="E397" s="272"/>
      <c r="F397" s="272"/>
      <c r="G397" s="272"/>
      <c r="H397" s="272"/>
      <c r="I397" s="272"/>
      <c r="J397" s="272"/>
      <c r="L397" s="330"/>
      <c r="M397" s="330"/>
      <c r="N397" s="330"/>
      <c r="O397" s="330"/>
    </row>
    <row r="398" spans="3:15" ht="15" customHeight="1">
      <c r="C398" s="272"/>
      <c r="D398" s="272"/>
      <c r="E398" s="272"/>
      <c r="F398" s="272"/>
      <c r="G398" s="272"/>
      <c r="H398" s="272"/>
      <c r="I398" s="272"/>
      <c r="J398" s="272"/>
      <c r="L398" s="330"/>
      <c r="M398" s="330"/>
      <c r="N398" s="330"/>
      <c r="O398" s="330"/>
    </row>
    <row r="399" spans="3:15" ht="15" customHeight="1">
      <c r="C399" s="272"/>
      <c r="D399" s="272"/>
      <c r="E399" s="272"/>
      <c r="F399" s="272"/>
      <c r="G399" s="272"/>
      <c r="H399" s="272"/>
      <c r="I399" s="272"/>
      <c r="J399" s="272"/>
      <c r="L399" s="330"/>
      <c r="M399" s="330"/>
      <c r="N399" s="330"/>
      <c r="O399" s="330"/>
    </row>
    <row r="400" spans="3:15" ht="15" customHeight="1">
      <c r="C400" s="272"/>
      <c r="D400" s="272"/>
      <c r="E400" s="272"/>
      <c r="F400" s="272"/>
      <c r="G400" s="272"/>
      <c r="H400" s="272"/>
      <c r="I400" s="272"/>
      <c r="J400" s="272"/>
      <c r="L400" s="330"/>
      <c r="M400" s="330"/>
      <c r="N400" s="330"/>
      <c r="O400" s="330"/>
    </row>
    <row r="401" spans="3:15" ht="15" customHeight="1">
      <c r="C401" s="272"/>
      <c r="D401" s="272"/>
      <c r="E401" s="272"/>
      <c r="F401" s="272"/>
      <c r="G401" s="272"/>
      <c r="H401" s="272"/>
      <c r="I401" s="272"/>
      <c r="J401" s="272"/>
      <c r="L401" s="330"/>
      <c r="M401" s="330"/>
      <c r="N401" s="330"/>
      <c r="O401" s="330"/>
    </row>
    <row r="402" spans="3:15" ht="15" customHeight="1">
      <c r="C402" s="272"/>
      <c r="D402" s="272"/>
      <c r="E402" s="272"/>
      <c r="F402" s="272"/>
      <c r="G402" s="272"/>
      <c r="H402" s="272"/>
      <c r="I402" s="272"/>
      <c r="J402" s="272"/>
      <c r="L402" s="330"/>
      <c r="M402" s="330"/>
      <c r="N402" s="330"/>
      <c r="O402" s="330"/>
    </row>
    <row r="403" spans="3:15" ht="15" customHeight="1">
      <c r="C403" s="272"/>
      <c r="D403" s="272"/>
      <c r="E403" s="272"/>
      <c r="F403" s="272"/>
      <c r="G403" s="272"/>
      <c r="H403" s="272"/>
      <c r="I403" s="272"/>
      <c r="J403" s="272"/>
      <c r="L403" s="330"/>
      <c r="M403" s="330"/>
      <c r="N403" s="330"/>
      <c r="O403" s="330"/>
    </row>
    <row r="404" spans="3:15" ht="15" customHeight="1">
      <c r="C404" s="272"/>
      <c r="D404" s="272"/>
      <c r="E404" s="272"/>
      <c r="F404" s="272"/>
      <c r="G404" s="272"/>
      <c r="H404" s="272"/>
      <c r="I404" s="272"/>
      <c r="J404" s="272"/>
      <c r="L404" s="330"/>
      <c r="M404" s="330"/>
      <c r="N404" s="330"/>
      <c r="O404" s="330"/>
    </row>
    <row r="405" spans="3:15" ht="15" customHeight="1">
      <c r="C405" s="272"/>
      <c r="D405" s="272"/>
      <c r="E405" s="272"/>
      <c r="F405" s="272"/>
      <c r="G405" s="272"/>
      <c r="H405" s="272"/>
      <c r="I405" s="272"/>
      <c r="J405" s="272"/>
      <c r="L405" s="330"/>
      <c r="M405" s="330"/>
      <c r="N405" s="330"/>
      <c r="O405" s="330"/>
    </row>
    <row r="406" spans="3:15" ht="15" customHeight="1">
      <c r="C406" s="272"/>
      <c r="D406" s="272"/>
      <c r="E406" s="272"/>
      <c r="F406" s="272"/>
      <c r="G406" s="272"/>
      <c r="H406" s="272"/>
      <c r="I406" s="272"/>
      <c r="J406" s="272"/>
      <c r="L406" s="330"/>
      <c r="M406" s="330"/>
      <c r="N406" s="330"/>
      <c r="O406" s="330"/>
    </row>
    <row r="407" spans="3:15" ht="15" customHeight="1">
      <c r="C407" s="272"/>
      <c r="D407" s="272"/>
      <c r="E407" s="272"/>
      <c r="F407" s="272"/>
      <c r="G407" s="272"/>
      <c r="H407" s="272"/>
      <c r="I407" s="272"/>
      <c r="J407" s="272"/>
      <c r="L407" s="330"/>
      <c r="M407" s="330"/>
      <c r="N407" s="330"/>
      <c r="O407" s="330"/>
    </row>
    <row r="408" spans="3:15" ht="15" customHeight="1">
      <c r="C408" s="272"/>
      <c r="D408" s="272"/>
      <c r="E408" s="272"/>
      <c r="F408" s="272"/>
      <c r="G408" s="272"/>
      <c r="H408" s="272"/>
      <c r="I408" s="272"/>
      <c r="J408" s="272"/>
      <c r="L408" s="330"/>
      <c r="M408" s="330"/>
      <c r="N408" s="330"/>
      <c r="O408" s="330"/>
    </row>
    <row r="409" spans="3:10" ht="15" customHeight="1">
      <c r="C409" s="272"/>
      <c r="D409" s="272"/>
      <c r="E409" s="272"/>
      <c r="F409" s="272"/>
      <c r="G409" s="272"/>
      <c r="H409" s="272"/>
      <c r="I409" s="272"/>
      <c r="J409" s="272"/>
    </row>
    <row r="410" spans="3:10" ht="15" customHeight="1">
      <c r="C410" s="272"/>
      <c r="D410" s="272"/>
      <c r="E410" s="272"/>
      <c r="F410" s="272"/>
      <c r="G410" s="272"/>
      <c r="H410" s="272"/>
      <c r="I410" s="272"/>
      <c r="J410" s="272"/>
    </row>
    <row r="411" spans="3:10" ht="15" customHeight="1">
      <c r="C411" s="272"/>
      <c r="D411" s="272"/>
      <c r="E411" s="272"/>
      <c r="F411" s="272"/>
      <c r="G411" s="272"/>
      <c r="H411" s="272"/>
      <c r="I411" s="272"/>
      <c r="J411" s="272"/>
    </row>
    <row r="412" spans="3:10" ht="15" customHeight="1">
      <c r="C412" s="272"/>
      <c r="D412" s="272"/>
      <c r="E412" s="272"/>
      <c r="F412" s="272"/>
      <c r="G412" s="272"/>
      <c r="H412" s="272"/>
      <c r="I412" s="272"/>
      <c r="J412" s="272"/>
    </row>
    <row r="413" spans="3:10" ht="15" customHeight="1">
      <c r="C413" s="272"/>
      <c r="D413" s="272"/>
      <c r="E413" s="272"/>
      <c r="F413" s="272"/>
      <c r="G413" s="272"/>
      <c r="H413" s="272"/>
      <c r="I413" s="272"/>
      <c r="J413" s="272"/>
    </row>
    <row r="414" spans="3:10" ht="15" customHeight="1">
      <c r="C414" s="272"/>
      <c r="D414" s="272"/>
      <c r="E414" s="272"/>
      <c r="F414" s="272"/>
      <c r="G414" s="272"/>
      <c r="H414" s="272"/>
      <c r="I414" s="272"/>
      <c r="J414" s="272"/>
    </row>
    <row r="415" spans="3:10" ht="15" customHeight="1">
      <c r="C415" s="272"/>
      <c r="D415" s="272"/>
      <c r="E415" s="272"/>
      <c r="F415" s="272"/>
      <c r="G415" s="272"/>
      <c r="H415" s="272"/>
      <c r="I415" s="272"/>
      <c r="J415" s="272"/>
    </row>
    <row r="416" spans="3:10" ht="15" customHeight="1">
      <c r="C416" s="272"/>
      <c r="D416" s="272"/>
      <c r="E416" s="272"/>
      <c r="F416" s="272"/>
      <c r="G416" s="272"/>
      <c r="H416" s="272"/>
      <c r="I416" s="272"/>
      <c r="J416" s="272"/>
    </row>
    <row r="417" spans="3:10" ht="15" customHeight="1">
      <c r="C417" s="272"/>
      <c r="D417" s="272"/>
      <c r="E417" s="272"/>
      <c r="F417" s="272"/>
      <c r="G417" s="272"/>
      <c r="H417" s="272"/>
      <c r="I417" s="272"/>
      <c r="J417" s="272"/>
    </row>
    <row r="418" spans="3:10" ht="15" customHeight="1">
      <c r="C418" s="272"/>
      <c r="D418" s="272"/>
      <c r="E418" s="272"/>
      <c r="F418" s="272"/>
      <c r="G418" s="272"/>
      <c r="H418" s="272"/>
      <c r="I418" s="272"/>
      <c r="J418" s="272"/>
    </row>
    <row r="419" spans="3:10" ht="15" customHeight="1">
      <c r="C419" s="272"/>
      <c r="D419" s="272"/>
      <c r="E419" s="272"/>
      <c r="F419" s="272"/>
      <c r="G419" s="272"/>
      <c r="H419" s="272"/>
      <c r="I419" s="272"/>
      <c r="J419" s="272"/>
    </row>
    <row r="420" spans="3:10" ht="15" customHeight="1">
      <c r="C420" s="272"/>
      <c r="D420" s="272"/>
      <c r="E420" s="272"/>
      <c r="F420" s="272"/>
      <c r="G420" s="272"/>
      <c r="H420" s="272"/>
      <c r="I420" s="272"/>
      <c r="J420" s="272"/>
    </row>
    <row r="421" spans="3:10" ht="15" customHeight="1">
      <c r="C421" s="272"/>
      <c r="D421" s="272"/>
      <c r="E421" s="272"/>
      <c r="F421" s="272"/>
      <c r="G421" s="272"/>
      <c r="H421" s="272"/>
      <c r="I421" s="272"/>
      <c r="J421" s="272"/>
    </row>
    <row r="422" spans="3:10" ht="15">
      <c r="C422" s="272"/>
      <c r="D422" s="272"/>
      <c r="E422" s="272"/>
      <c r="F422" s="272"/>
      <c r="G422" s="272"/>
      <c r="H422" s="272"/>
      <c r="I422" s="272"/>
      <c r="J422" s="272"/>
    </row>
    <row r="423" spans="3:10" ht="15">
      <c r="C423" s="272"/>
      <c r="D423" s="272"/>
      <c r="E423" s="272"/>
      <c r="F423" s="272"/>
      <c r="G423" s="272"/>
      <c r="H423" s="272"/>
      <c r="I423" s="272"/>
      <c r="J423" s="272"/>
    </row>
    <row r="424" spans="3:10" ht="15">
      <c r="C424" s="272"/>
      <c r="D424" s="272"/>
      <c r="E424" s="272"/>
      <c r="F424" s="272"/>
      <c r="G424" s="272"/>
      <c r="H424" s="272"/>
      <c r="I424" s="272"/>
      <c r="J424" s="272"/>
    </row>
    <row r="425" spans="3:10" ht="15">
      <c r="C425" s="272"/>
      <c r="D425" s="272"/>
      <c r="E425" s="272"/>
      <c r="F425" s="272"/>
      <c r="G425" s="272"/>
      <c r="H425" s="272"/>
      <c r="I425" s="272"/>
      <c r="J425" s="272"/>
    </row>
    <row r="426" spans="3:10" ht="15">
      <c r="C426" s="272"/>
      <c r="D426" s="272"/>
      <c r="E426" s="272"/>
      <c r="F426" s="272"/>
      <c r="G426" s="272"/>
      <c r="H426" s="272"/>
      <c r="I426" s="272"/>
      <c r="J426" s="272"/>
    </row>
    <row r="427" spans="3:10" ht="15">
      <c r="C427" s="272"/>
      <c r="D427" s="272"/>
      <c r="E427" s="272"/>
      <c r="F427" s="272"/>
      <c r="G427" s="272"/>
      <c r="H427" s="272"/>
      <c r="I427" s="272"/>
      <c r="J427" s="272"/>
    </row>
    <row r="428" spans="3:10" ht="15">
      <c r="C428" s="272"/>
      <c r="D428" s="272"/>
      <c r="E428" s="272"/>
      <c r="F428" s="272"/>
      <c r="G428" s="272"/>
      <c r="H428" s="272"/>
      <c r="I428" s="272"/>
      <c r="J428" s="272"/>
    </row>
    <row r="429" spans="3:10" ht="15">
      <c r="C429" s="272"/>
      <c r="D429" s="272"/>
      <c r="E429" s="272"/>
      <c r="F429" s="272"/>
      <c r="G429" s="272"/>
      <c r="H429" s="272"/>
      <c r="I429" s="272"/>
      <c r="J429" s="272"/>
    </row>
    <row r="430" spans="3:10" ht="15">
      <c r="C430" s="272"/>
      <c r="D430" s="272"/>
      <c r="E430" s="272"/>
      <c r="F430" s="272"/>
      <c r="G430" s="272"/>
      <c r="H430" s="272"/>
      <c r="I430" s="272"/>
      <c r="J430" s="272"/>
    </row>
    <row r="431" spans="3:10" ht="15">
      <c r="C431" s="272"/>
      <c r="D431" s="272"/>
      <c r="E431" s="272"/>
      <c r="F431" s="272"/>
      <c r="G431" s="272"/>
      <c r="H431" s="272"/>
      <c r="I431" s="272"/>
      <c r="J431" s="272"/>
    </row>
    <row r="432" spans="3:10" ht="15">
      <c r="C432" s="272"/>
      <c r="D432" s="272"/>
      <c r="E432" s="272"/>
      <c r="F432" s="272"/>
      <c r="G432" s="272"/>
      <c r="H432" s="272"/>
      <c r="I432" s="272"/>
      <c r="J432" s="272"/>
    </row>
    <row r="433" spans="3:10" ht="15">
      <c r="C433" s="272"/>
      <c r="D433" s="272"/>
      <c r="E433" s="272"/>
      <c r="F433" s="272"/>
      <c r="G433" s="272"/>
      <c r="H433" s="272"/>
      <c r="I433" s="272"/>
      <c r="J433" s="272"/>
    </row>
    <row r="434" spans="3:10" ht="15">
      <c r="C434" s="272"/>
      <c r="D434" s="272"/>
      <c r="E434" s="272"/>
      <c r="F434" s="272"/>
      <c r="G434" s="272"/>
      <c r="H434" s="272"/>
      <c r="I434" s="272"/>
      <c r="J434" s="272"/>
    </row>
    <row r="435" spans="3:10" ht="15">
      <c r="C435" s="272"/>
      <c r="D435" s="272"/>
      <c r="E435" s="272"/>
      <c r="F435" s="272"/>
      <c r="G435" s="272"/>
      <c r="H435" s="272"/>
      <c r="I435" s="272"/>
      <c r="J435" s="272"/>
    </row>
    <row r="436" spans="3:10" ht="15">
      <c r="C436" s="272"/>
      <c r="D436" s="272"/>
      <c r="E436" s="272"/>
      <c r="F436" s="272"/>
      <c r="G436" s="272"/>
      <c r="H436" s="272"/>
      <c r="I436" s="272"/>
      <c r="J436" s="272"/>
    </row>
    <row r="437" spans="3:10" ht="15">
      <c r="C437" s="272"/>
      <c r="D437" s="272"/>
      <c r="E437" s="272"/>
      <c r="F437" s="272"/>
      <c r="G437" s="272"/>
      <c r="H437" s="272"/>
      <c r="I437" s="272"/>
      <c r="J437" s="272"/>
    </row>
    <row r="438" spans="3:10" ht="15">
      <c r="C438" s="272"/>
      <c r="D438" s="272"/>
      <c r="E438" s="272"/>
      <c r="F438" s="272"/>
      <c r="G438" s="272"/>
      <c r="H438" s="272"/>
      <c r="I438" s="272"/>
      <c r="J438" s="272"/>
    </row>
    <row r="439" spans="3:10" ht="15">
      <c r="C439" s="272"/>
      <c r="D439" s="272"/>
      <c r="E439" s="272"/>
      <c r="F439" s="272"/>
      <c r="G439" s="272"/>
      <c r="H439" s="272"/>
      <c r="I439" s="272"/>
      <c r="J439" s="272"/>
    </row>
    <row r="440" spans="3:10" ht="15">
      <c r="C440" s="272"/>
      <c r="D440" s="272"/>
      <c r="E440" s="272"/>
      <c r="F440" s="272"/>
      <c r="G440" s="272"/>
      <c r="H440" s="272"/>
      <c r="I440" s="272"/>
      <c r="J440" s="272"/>
    </row>
    <row r="441" spans="3:10" ht="15">
      <c r="C441" s="272"/>
      <c r="D441" s="272"/>
      <c r="E441" s="272"/>
      <c r="F441" s="272"/>
      <c r="G441" s="272"/>
      <c r="H441" s="272"/>
      <c r="I441" s="272"/>
      <c r="J441" s="272"/>
    </row>
    <row r="442" spans="3:10" ht="15">
      <c r="C442" s="272"/>
      <c r="D442" s="272"/>
      <c r="E442" s="272"/>
      <c r="F442" s="272"/>
      <c r="G442" s="272"/>
      <c r="H442" s="272"/>
      <c r="I442" s="272"/>
      <c r="J442" s="272"/>
    </row>
    <row r="443" spans="3:10" ht="15">
      <c r="C443" s="272"/>
      <c r="D443" s="272"/>
      <c r="E443" s="272"/>
      <c r="F443" s="272"/>
      <c r="G443" s="272"/>
      <c r="H443" s="272"/>
      <c r="I443" s="272"/>
      <c r="J443" s="272"/>
    </row>
    <row r="444" spans="3:10" ht="15">
      <c r="C444" s="272"/>
      <c r="D444" s="272"/>
      <c r="E444" s="272"/>
      <c r="F444" s="272"/>
      <c r="G444" s="272"/>
      <c r="H444" s="272"/>
      <c r="I444" s="272"/>
      <c r="J444" s="272"/>
    </row>
    <row r="445" spans="3:10" ht="15">
      <c r="C445" s="272"/>
      <c r="D445" s="272"/>
      <c r="E445" s="272"/>
      <c r="F445" s="272"/>
      <c r="G445" s="272"/>
      <c r="H445" s="272"/>
      <c r="I445" s="272"/>
      <c r="J445" s="272"/>
    </row>
    <row r="446" spans="3:10" ht="15">
      <c r="C446" s="272"/>
      <c r="D446" s="272"/>
      <c r="E446" s="272"/>
      <c r="F446" s="272"/>
      <c r="G446" s="272"/>
      <c r="H446" s="272"/>
      <c r="I446" s="272"/>
      <c r="J446" s="272"/>
    </row>
    <row r="447" spans="3:10" ht="15">
      <c r="C447" s="272"/>
      <c r="D447" s="272"/>
      <c r="E447" s="272"/>
      <c r="F447" s="272"/>
      <c r="G447" s="272"/>
      <c r="H447" s="272"/>
      <c r="I447" s="272"/>
      <c r="J447" s="272"/>
    </row>
    <row r="448" spans="3:10" ht="15">
      <c r="C448" s="272"/>
      <c r="D448" s="272"/>
      <c r="E448" s="272"/>
      <c r="F448" s="272"/>
      <c r="G448" s="272"/>
      <c r="H448" s="272"/>
      <c r="I448" s="272"/>
      <c r="J448" s="272"/>
    </row>
    <row r="449" spans="3:10" ht="15">
      <c r="C449" s="272"/>
      <c r="D449" s="272"/>
      <c r="E449" s="272"/>
      <c r="F449" s="272"/>
      <c r="G449" s="272"/>
      <c r="H449" s="272"/>
      <c r="I449" s="272"/>
      <c r="J449" s="272"/>
    </row>
    <row r="450" spans="3:10" ht="15">
      <c r="C450" s="272"/>
      <c r="D450" s="272"/>
      <c r="E450" s="272"/>
      <c r="F450" s="272"/>
      <c r="G450" s="272"/>
      <c r="H450" s="272"/>
      <c r="I450" s="272"/>
      <c r="J450" s="272"/>
    </row>
    <row r="451" spans="3:10" ht="15">
      <c r="C451" s="272"/>
      <c r="D451" s="272"/>
      <c r="E451" s="272"/>
      <c r="F451" s="272"/>
      <c r="G451" s="272"/>
      <c r="H451" s="272"/>
      <c r="I451" s="272"/>
      <c r="J451" s="272"/>
    </row>
    <row r="452" spans="3:10" ht="15">
      <c r="C452" s="272"/>
      <c r="D452" s="272"/>
      <c r="E452" s="272"/>
      <c r="F452" s="272"/>
      <c r="G452" s="272"/>
      <c r="H452" s="272"/>
      <c r="I452" s="272"/>
      <c r="J452" s="272"/>
    </row>
    <row r="453" spans="3:10" ht="15">
      <c r="C453" s="272"/>
      <c r="D453" s="272"/>
      <c r="E453" s="272"/>
      <c r="F453" s="272"/>
      <c r="G453" s="272"/>
      <c r="H453" s="272"/>
      <c r="I453" s="272"/>
      <c r="J453" s="272"/>
    </row>
    <row r="454" spans="3:10" ht="15">
      <c r="C454" s="272"/>
      <c r="D454" s="272"/>
      <c r="E454" s="272"/>
      <c r="F454" s="272"/>
      <c r="G454" s="272"/>
      <c r="H454" s="272"/>
      <c r="I454" s="272"/>
      <c r="J454" s="272"/>
    </row>
    <row r="455" spans="3:10" ht="15">
      <c r="C455" s="272"/>
      <c r="D455" s="272"/>
      <c r="E455" s="272"/>
      <c r="F455" s="272"/>
      <c r="G455" s="272"/>
      <c r="H455" s="272"/>
      <c r="I455" s="272"/>
      <c r="J455" s="272"/>
    </row>
    <row r="456" spans="3:10" ht="15">
      <c r="C456" s="272"/>
      <c r="D456" s="272"/>
      <c r="E456" s="272"/>
      <c r="F456" s="272"/>
      <c r="G456" s="272"/>
      <c r="H456" s="272"/>
      <c r="I456" s="272"/>
      <c r="J456" s="272"/>
    </row>
    <row r="457" spans="3:10" ht="15">
      <c r="C457" s="272"/>
      <c r="D457" s="272"/>
      <c r="E457" s="272"/>
      <c r="F457" s="272"/>
      <c r="G457" s="272"/>
      <c r="H457" s="272"/>
      <c r="I457" s="272"/>
      <c r="J457" s="272"/>
    </row>
    <row r="458" spans="3:10" ht="15">
      <c r="C458" s="272"/>
      <c r="D458" s="272"/>
      <c r="E458" s="272"/>
      <c r="F458" s="272"/>
      <c r="G458" s="272"/>
      <c r="H458" s="272"/>
      <c r="I458" s="272"/>
      <c r="J458" s="272"/>
    </row>
    <row r="459" spans="3:10" ht="15">
      <c r="C459" s="272"/>
      <c r="D459" s="272"/>
      <c r="E459" s="272"/>
      <c r="F459" s="272"/>
      <c r="G459" s="272"/>
      <c r="H459" s="272"/>
      <c r="I459" s="272"/>
      <c r="J459" s="272"/>
    </row>
    <row r="460" spans="3:10" ht="15">
      <c r="C460" s="272"/>
      <c r="D460" s="272"/>
      <c r="E460" s="272"/>
      <c r="F460" s="272"/>
      <c r="G460" s="272"/>
      <c r="H460" s="272"/>
      <c r="I460" s="272"/>
      <c r="J460" s="272"/>
    </row>
    <row r="461" spans="3:10" ht="15">
      <c r="C461" s="272"/>
      <c r="D461" s="272"/>
      <c r="E461" s="272"/>
      <c r="F461" s="272"/>
      <c r="G461" s="272"/>
      <c r="H461" s="272"/>
      <c r="I461" s="272"/>
      <c r="J461" s="272"/>
    </row>
    <row r="462" spans="3:10" ht="15">
      <c r="C462" s="272"/>
      <c r="D462" s="272"/>
      <c r="E462" s="272"/>
      <c r="F462" s="272"/>
      <c r="G462" s="272"/>
      <c r="H462" s="272"/>
      <c r="I462" s="272"/>
      <c r="J462" s="272"/>
    </row>
    <row r="463" spans="3:10" ht="15">
      <c r="C463" s="272"/>
      <c r="D463" s="272"/>
      <c r="E463" s="272"/>
      <c r="F463" s="272"/>
      <c r="G463" s="272"/>
      <c r="H463" s="272"/>
      <c r="I463" s="272"/>
      <c r="J463" s="272"/>
    </row>
    <row r="464" spans="3:10" ht="15">
      <c r="C464" s="272"/>
      <c r="D464" s="272"/>
      <c r="E464" s="272"/>
      <c r="F464" s="272"/>
      <c r="G464" s="272"/>
      <c r="H464" s="272"/>
      <c r="I464" s="272"/>
      <c r="J464" s="272"/>
    </row>
    <row r="465" spans="3:10" ht="15">
      <c r="C465" s="272"/>
      <c r="D465" s="272"/>
      <c r="E465" s="272"/>
      <c r="F465" s="272"/>
      <c r="G465" s="272"/>
      <c r="H465" s="272"/>
      <c r="I465" s="272"/>
      <c r="J465" s="272"/>
    </row>
    <row r="466" spans="3:10" ht="15">
      <c r="C466" s="272"/>
      <c r="D466" s="272"/>
      <c r="E466" s="272"/>
      <c r="F466" s="272"/>
      <c r="G466" s="272"/>
      <c r="H466" s="272"/>
      <c r="I466" s="272"/>
      <c r="J466" s="272"/>
    </row>
    <row r="467" spans="3:10" ht="15">
      <c r="C467" s="272"/>
      <c r="D467" s="272"/>
      <c r="E467" s="272"/>
      <c r="F467" s="272"/>
      <c r="G467" s="272"/>
      <c r="H467" s="272"/>
      <c r="I467" s="272"/>
      <c r="J467" s="272"/>
    </row>
    <row r="468" spans="3:10" ht="15">
      <c r="C468" s="272"/>
      <c r="D468" s="272"/>
      <c r="E468" s="272"/>
      <c r="F468" s="272"/>
      <c r="G468" s="272"/>
      <c r="H468" s="272"/>
      <c r="I468" s="272"/>
      <c r="J468" s="272"/>
    </row>
    <row r="469" spans="3:10" ht="15">
      <c r="C469" s="272"/>
      <c r="D469" s="272"/>
      <c r="E469" s="272"/>
      <c r="F469" s="272"/>
      <c r="G469" s="272"/>
      <c r="H469" s="272"/>
      <c r="I469" s="272"/>
      <c r="J469" s="272"/>
    </row>
    <row r="470" spans="3:10" ht="15">
      <c r="C470" s="272"/>
      <c r="D470" s="272"/>
      <c r="E470" s="272"/>
      <c r="F470" s="272"/>
      <c r="G470" s="272"/>
      <c r="H470" s="272"/>
      <c r="I470" s="272"/>
      <c r="J470" s="272"/>
    </row>
    <row r="471" spans="3:10" ht="15">
      <c r="C471" s="272"/>
      <c r="D471" s="272"/>
      <c r="E471" s="272"/>
      <c r="F471" s="272"/>
      <c r="G471" s="272"/>
      <c r="H471" s="272"/>
      <c r="I471" s="272"/>
      <c r="J471" s="272"/>
    </row>
    <row r="472" spans="3:10" ht="15">
      <c r="C472" s="272"/>
      <c r="D472" s="272"/>
      <c r="E472" s="272"/>
      <c r="F472" s="272"/>
      <c r="G472" s="272"/>
      <c r="H472" s="272"/>
      <c r="I472" s="272"/>
      <c r="J472" s="272"/>
    </row>
    <row r="473" spans="3:10" ht="15">
      <c r="C473" s="272"/>
      <c r="D473" s="272"/>
      <c r="E473" s="272"/>
      <c r="F473" s="272"/>
      <c r="G473" s="272"/>
      <c r="H473" s="272"/>
      <c r="I473" s="272"/>
      <c r="J473" s="272"/>
    </row>
    <row r="474" spans="3:10" ht="15">
      <c r="C474" s="272"/>
      <c r="D474" s="272"/>
      <c r="E474" s="272"/>
      <c r="F474" s="272"/>
      <c r="G474" s="272"/>
      <c r="H474" s="272"/>
      <c r="I474" s="272"/>
      <c r="J474" s="272"/>
    </row>
    <row r="475" spans="3:10" ht="15">
      <c r="C475" s="272"/>
      <c r="D475" s="272"/>
      <c r="E475" s="272"/>
      <c r="F475" s="272"/>
      <c r="G475" s="272"/>
      <c r="H475" s="272"/>
      <c r="I475" s="272"/>
      <c r="J475" s="272"/>
    </row>
    <row r="476" spans="3:10" ht="15">
      <c r="C476" s="272"/>
      <c r="D476" s="272"/>
      <c r="E476" s="272"/>
      <c r="F476" s="272"/>
      <c r="G476" s="272"/>
      <c r="H476" s="272"/>
      <c r="I476" s="272"/>
      <c r="J476" s="272"/>
    </row>
    <row r="477" spans="3:10" ht="15">
      <c r="C477" s="272"/>
      <c r="D477" s="272"/>
      <c r="E477" s="272"/>
      <c r="F477" s="272"/>
      <c r="G477" s="272"/>
      <c r="H477" s="272"/>
      <c r="I477" s="272"/>
      <c r="J477" s="272"/>
    </row>
    <row r="478" spans="3:10" ht="15">
      <c r="C478" s="272"/>
      <c r="D478" s="272"/>
      <c r="E478" s="272"/>
      <c r="F478" s="272"/>
      <c r="G478" s="272"/>
      <c r="H478" s="272"/>
      <c r="I478" s="272"/>
      <c r="J478" s="272"/>
    </row>
    <row r="479" spans="3:10" ht="15">
      <c r="C479" s="272"/>
      <c r="D479" s="272"/>
      <c r="E479" s="272"/>
      <c r="F479" s="272"/>
      <c r="G479" s="272"/>
      <c r="H479" s="272"/>
      <c r="I479" s="272"/>
      <c r="J479" s="272"/>
    </row>
    <row r="480" spans="3:10" ht="15">
      <c r="C480" s="272"/>
      <c r="D480" s="272"/>
      <c r="E480" s="272"/>
      <c r="F480" s="272"/>
      <c r="G480" s="272"/>
      <c r="H480" s="272"/>
      <c r="I480" s="272"/>
      <c r="J480" s="272"/>
    </row>
    <row r="481" spans="3:10" ht="15">
      <c r="C481" s="272"/>
      <c r="D481" s="272"/>
      <c r="E481" s="272"/>
      <c r="F481" s="272"/>
      <c r="G481" s="272"/>
      <c r="H481" s="272"/>
      <c r="I481" s="272"/>
      <c r="J481" s="272"/>
    </row>
    <row r="482" spans="3:10" ht="15">
      <c r="C482" s="272"/>
      <c r="D482" s="272"/>
      <c r="E482" s="272"/>
      <c r="F482" s="272"/>
      <c r="G482" s="272"/>
      <c r="H482" s="272"/>
      <c r="I482" s="272"/>
      <c r="J482" s="272"/>
    </row>
    <row r="483" spans="3:10" ht="15">
      <c r="C483" s="272"/>
      <c r="D483" s="272"/>
      <c r="E483" s="272"/>
      <c r="F483" s="272"/>
      <c r="G483" s="272"/>
      <c r="H483" s="272"/>
      <c r="I483" s="272"/>
      <c r="J483" s="272"/>
    </row>
    <row r="484" spans="3:10" ht="15">
      <c r="C484" s="272"/>
      <c r="D484" s="272"/>
      <c r="E484" s="272"/>
      <c r="F484" s="272"/>
      <c r="G484" s="272"/>
      <c r="H484" s="272"/>
      <c r="I484" s="272"/>
      <c r="J484" s="272"/>
    </row>
    <row r="485" spans="3:10" ht="15">
      <c r="C485" s="272"/>
      <c r="D485" s="272"/>
      <c r="E485" s="272"/>
      <c r="F485" s="272"/>
      <c r="G485" s="272"/>
      <c r="H485" s="272"/>
      <c r="I485" s="272"/>
      <c r="J485" s="272"/>
    </row>
    <row r="486" spans="3:10" ht="15">
      <c r="C486" s="272"/>
      <c r="D486" s="272"/>
      <c r="E486" s="272"/>
      <c r="F486" s="272"/>
      <c r="G486" s="272"/>
      <c r="H486" s="272"/>
      <c r="I486" s="272"/>
      <c r="J486" s="272"/>
    </row>
    <row r="487" spans="3:10" ht="15">
      <c r="C487" s="272"/>
      <c r="D487" s="272"/>
      <c r="E487" s="272"/>
      <c r="F487" s="272"/>
      <c r="G487" s="272"/>
      <c r="H487" s="272"/>
      <c r="I487" s="272"/>
      <c r="J487" s="272"/>
    </row>
    <row r="488" spans="3:10" ht="15">
      <c r="C488" s="272"/>
      <c r="D488" s="272"/>
      <c r="E488" s="272"/>
      <c r="F488" s="272"/>
      <c r="G488" s="272"/>
      <c r="H488" s="272"/>
      <c r="I488" s="272"/>
      <c r="J488" s="272"/>
    </row>
    <row r="489" spans="3:10" ht="15">
      <c r="C489" s="272"/>
      <c r="D489" s="272"/>
      <c r="E489" s="272"/>
      <c r="F489" s="272"/>
      <c r="G489" s="272"/>
      <c r="H489" s="272"/>
      <c r="I489" s="272"/>
      <c r="J489" s="272"/>
    </row>
    <row r="490" spans="3:10" ht="15">
      <c r="C490" s="272"/>
      <c r="D490" s="272"/>
      <c r="E490" s="272"/>
      <c r="F490" s="272"/>
      <c r="G490" s="272"/>
      <c r="H490" s="272"/>
      <c r="I490" s="272"/>
      <c r="J490" s="272"/>
    </row>
    <row r="491" spans="3:10" ht="15">
      <c r="C491" s="272"/>
      <c r="D491" s="272"/>
      <c r="E491" s="272"/>
      <c r="F491" s="272"/>
      <c r="G491" s="272"/>
      <c r="H491" s="272"/>
      <c r="I491" s="272"/>
      <c r="J491" s="272"/>
    </row>
    <row r="492" spans="3:10" ht="15">
      <c r="C492" s="272"/>
      <c r="D492" s="272"/>
      <c r="E492" s="272"/>
      <c r="F492" s="272"/>
      <c r="G492" s="272"/>
      <c r="H492" s="272"/>
      <c r="I492" s="272"/>
      <c r="J492" s="272"/>
    </row>
    <row r="493" spans="3:10" ht="15">
      <c r="C493" s="272"/>
      <c r="D493" s="272"/>
      <c r="E493" s="272"/>
      <c r="F493" s="272"/>
      <c r="G493" s="272"/>
      <c r="H493" s="272"/>
      <c r="I493" s="272"/>
      <c r="J493" s="272"/>
    </row>
    <row r="494" spans="3:10" ht="15">
      <c r="C494" s="272"/>
      <c r="D494" s="272"/>
      <c r="E494" s="272"/>
      <c r="F494" s="272"/>
      <c r="G494" s="272"/>
      <c r="H494" s="272"/>
      <c r="I494" s="272"/>
      <c r="J494" s="272"/>
    </row>
    <row r="495" spans="3:10" ht="15">
      <c r="C495" s="272"/>
      <c r="D495" s="272"/>
      <c r="E495" s="272"/>
      <c r="F495" s="272"/>
      <c r="G495" s="272"/>
      <c r="H495" s="272"/>
      <c r="I495" s="272"/>
      <c r="J495" s="272"/>
    </row>
    <row r="496" spans="3:10" ht="15">
      <c r="C496" s="272"/>
      <c r="D496" s="272"/>
      <c r="E496" s="272"/>
      <c r="F496" s="272"/>
      <c r="G496" s="272"/>
      <c r="H496" s="272"/>
      <c r="I496" s="272"/>
      <c r="J496" s="272"/>
    </row>
    <row r="497" spans="3:10" ht="15">
      <c r="C497" s="272"/>
      <c r="D497" s="272"/>
      <c r="E497" s="272"/>
      <c r="F497" s="272"/>
      <c r="G497" s="272"/>
      <c r="H497" s="272"/>
      <c r="I497" s="272"/>
      <c r="J497" s="272"/>
    </row>
    <row r="498" spans="3:10" ht="15">
      <c r="C498" s="272"/>
      <c r="D498" s="272"/>
      <c r="E498" s="272"/>
      <c r="F498" s="272"/>
      <c r="G498" s="272"/>
      <c r="H498" s="272"/>
      <c r="I498" s="272"/>
      <c r="J498" s="272"/>
    </row>
    <row r="499" spans="3:10" ht="15">
      <c r="C499" s="272"/>
      <c r="D499" s="272"/>
      <c r="E499" s="272"/>
      <c r="F499" s="272"/>
      <c r="G499" s="272"/>
      <c r="H499" s="272"/>
      <c r="I499" s="272"/>
      <c r="J499" s="272"/>
    </row>
    <row r="500" spans="3:10" ht="15">
      <c r="C500" s="272"/>
      <c r="D500" s="272"/>
      <c r="E500" s="272"/>
      <c r="F500" s="272"/>
      <c r="G500" s="272"/>
      <c r="H500" s="272"/>
      <c r="I500" s="272"/>
      <c r="J500" s="272"/>
    </row>
    <row r="501" spans="3:10" ht="15">
      <c r="C501" s="272"/>
      <c r="D501" s="272"/>
      <c r="E501" s="272"/>
      <c r="F501" s="272"/>
      <c r="G501" s="272"/>
      <c r="H501" s="272"/>
      <c r="I501" s="272"/>
      <c r="J501" s="272"/>
    </row>
    <row r="502" spans="3:10" ht="15">
      <c r="C502" s="272"/>
      <c r="D502" s="272"/>
      <c r="E502" s="272"/>
      <c r="F502" s="272"/>
      <c r="G502" s="272"/>
      <c r="H502" s="272"/>
      <c r="I502" s="272"/>
      <c r="J502" s="272"/>
    </row>
    <row r="503" spans="3:10" ht="15">
      <c r="C503" s="272"/>
      <c r="D503" s="272"/>
      <c r="E503" s="272"/>
      <c r="F503" s="272"/>
      <c r="G503" s="272"/>
      <c r="H503" s="272"/>
      <c r="I503" s="272"/>
      <c r="J503" s="272"/>
    </row>
    <row r="504" spans="3:10" ht="15">
      <c r="C504" s="272"/>
      <c r="D504" s="272"/>
      <c r="E504" s="272"/>
      <c r="F504" s="272"/>
      <c r="G504" s="272"/>
      <c r="H504" s="272"/>
      <c r="I504" s="272"/>
      <c r="J504" s="272"/>
    </row>
    <row r="505" spans="3:10" ht="15">
      <c r="C505" s="272"/>
      <c r="D505" s="272"/>
      <c r="E505" s="272"/>
      <c r="F505" s="272"/>
      <c r="G505" s="272"/>
      <c r="H505" s="272"/>
      <c r="I505" s="272"/>
      <c r="J505" s="272"/>
    </row>
    <row r="506" spans="3:10" ht="15">
      <c r="C506" s="272"/>
      <c r="D506" s="272"/>
      <c r="E506" s="272"/>
      <c r="F506" s="272"/>
      <c r="G506" s="272"/>
      <c r="H506" s="272"/>
      <c r="I506" s="272"/>
      <c r="J506" s="272"/>
    </row>
    <row r="507" spans="3:10" ht="15">
      <c r="C507" s="272"/>
      <c r="D507" s="272"/>
      <c r="E507" s="272"/>
      <c r="F507" s="272"/>
      <c r="G507" s="272"/>
      <c r="H507" s="272"/>
      <c r="I507" s="272"/>
      <c r="J507" s="272"/>
    </row>
    <row r="508" spans="3:10" ht="15">
      <c r="C508" s="272"/>
      <c r="D508" s="272"/>
      <c r="E508" s="272"/>
      <c r="F508" s="272"/>
      <c r="G508" s="272"/>
      <c r="H508" s="272"/>
      <c r="I508" s="272"/>
      <c r="J508" s="272"/>
    </row>
    <row r="509" spans="3:10" ht="15">
      <c r="C509" s="272"/>
      <c r="D509" s="272"/>
      <c r="E509" s="272"/>
      <c r="F509" s="272"/>
      <c r="G509" s="272"/>
      <c r="H509" s="272"/>
      <c r="I509" s="272"/>
      <c r="J509" s="272"/>
    </row>
    <row r="510" spans="3:10" ht="15">
      <c r="C510" s="272"/>
      <c r="D510" s="272"/>
      <c r="E510" s="272"/>
      <c r="F510" s="272"/>
      <c r="G510" s="272"/>
      <c r="H510" s="272"/>
      <c r="I510" s="272"/>
      <c r="J510" s="272"/>
    </row>
    <row r="511" spans="3:10" ht="15">
      <c r="C511" s="272"/>
      <c r="D511" s="272"/>
      <c r="E511" s="272"/>
      <c r="F511" s="272"/>
      <c r="G511" s="272"/>
      <c r="H511" s="272"/>
      <c r="I511" s="272"/>
      <c r="J511" s="272"/>
    </row>
    <row r="512" spans="3:10" ht="15">
      <c r="C512" s="272"/>
      <c r="D512" s="272"/>
      <c r="E512" s="272"/>
      <c r="F512" s="272"/>
      <c r="G512" s="272"/>
      <c r="H512" s="272"/>
      <c r="I512" s="272"/>
      <c r="J512" s="272"/>
    </row>
    <row r="513" spans="3:10" ht="15">
      <c r="C513" s="272"/>
      <c r="D513" s="272"/>
      <c r="E513" s="272"/>
      <c r="F513" s="272"/>
      <c r="G513" s="272"/>
      <c r="H513" s="272"/>
      <c r="I513" s="272"/>
      <c r="J513" s="272"/>
    </row>
    <row r="514" spans="3:10" ht="15">
      <c r="C514" s="272"/>
      <c r="D514" s="272"/>
      <c r="E514" s="272"/>
      <c r="F514" s="272"/>
      <c r="G514" s="272"/>
      <c r="H514" s="272"/>
      <c r="I514" s="272"/>
      <c r="J514" s="272"/>
    </row>
    <row r="515" spans="3:10" ht="15">
      <c r="C515" s="272"/>
      <c r="D515" s="272"/>
      <c r="E515" s="272"/>
      <c r="F515" s="272"/>
      <c r="G515" s="272"/>
      <c r="H515" s="272"/>
      <c r="I515" s="272"/>
      <c r="J515" s="272"/>
    </row>
    <row r="516" spans="3:10" ht="15">
      <c r="C516" s="272"/>
      <c r="D516" s="272"/>
      <c r="E516" s="272"/>
      <c r="F516" s="272"/>
      <c r="G516" s="272"/>
      <c r="H516" s="272"/>
      <c r="I516" s="272"/>
      <c r="J516" s="272"/>
    </row>
    <row r="517" spans="3:10" ht="15">
      <c r="C517" s="272"/>
      <c r="D517" s="272"/>
      <c r="E517" s="272"/>
      <c r="F517" s="272"/>
      <c r="G517" s="272"/>
      <c r="H517" s="272"/>
      <c r="I517" s="272"/>
      <c r="J517" s="272"/>
    </row>
    <row r="518" spans="3:10" ht="15">
      <c r="C518" s="272"/>
      <c r="D518" s="272"/>
      <c r="E518" s="272"/>
      <c r="F518" s="272"/>
      <c r="G518" s="272"/>
      <c r="H518" s="272"/>
      <c r="I518" s="272"/>
      <c r="J518" s="272"/>
    </row>
    <row r="519" spans="3:10" ht="15">
      <c r="C519" s="272"/>
      <c r="D519" s="272"/>
      <c r="E519" s="272"/>
      <c r="F519" s="272"/>
      <c r="G519" s="272"/>
      <c r="H519" s="272"/>
      <c r="I519" s="272"/>
      <c r="J519" s="272"/>
    </row>
    <row r="520" spans="3:10" ht="15">
      <c r="C520" s="272"/>
      <c r="D520" s="272"/>
      <c r="E520" s="272"/>
      <c r="F520" s="272"/>
      <c r="G520" s="272"/>
      <c r="H520" s="272"/>
      <c r="I520" s="272"/>
      <c r="J520" s="272"/>
    </row>
    <row r="521" spans="3:10" ht="15">
      <c r="C521" s="272"/>
      <c r="D521" s="272"/>
      <c r="E521" s="272"/>
      <c r="F521" s="272"/>
      <c r="G521" s="272"/>
      <c r="H521" s="272"/>
      <c r="I521" s="272"/>
      <c r="J521" s="272"/>
    </row>
    <row r="522" spans="3:10" ht="15">
      <c r="C522" s="272"/>
      <c r="D522" s="272"/>
      <c r="E522" s="272"/>
      <c r="F522" s="272"/>
      <c r="G522" s="272"/>
      <c r="H522" s="272"/>
      <c r="I522" s="272"/>
      <c r="J522" s="272"/>
    </row>
    <row r="523" spans="3:10" ht="15">
      <c r="C523" s="272"/>
      <c r="D523" s="272"/>
      <c r="E523" s="272"/>
      <c r="F523" s="272"/>
      <c r="G523" s="272"/>
      <c r="H523" s="272"/>
      <c r="I523" s="272"/>
      <c r="J523" s="272"/>
    </row>
    <row r="524" spans="3:10" ht="15">
      <c r="C524" s="272"/>
      <c r="D524" s="272"/>
      <c r="E524" s="272"/>
      <c r="F524" s="272"/>
      <c r="G524" s="272"/>
      <c r="H524" s="272"/>
      <c r="I524" s="272"/>
      <c r="J524" s="272"/>
    </row>
    <row r="525" spans="3:10" ht="15">
      <c r="C525" s="272"/>
      <c r="D525" s="272"/>
      <c r="E525" s="272"/>
      <c r="F525" s="272"/>
      <c r="G525" s="272"/>
      <c r="H525" s="272"/>
      <c r="I525" s="272"/>
      <c r="J525" s="272"/>
    </row>
    <row r="526" spans="3:10" ht="15">
      <c r="C526" s="272"/>
      <c r="D526" s="272"/>
      <c r="E526" s="272"/>
      <c r="F526" s="272"/>
      <c r="G526" s="272"/>
      <c r="H526" s="272"/>
      <c r="I526" s="272"/>
      <c r="J526" s="272"/>
    </row>
    <row r="527" spans="3:10" ht="15">
      <c r="C527" s="272"/>
      <c r="D527" s="272"/>
      <c r="E527" s="272"/>
      <c r="F527" s="272"/>
      <c r="G527" s="272"/>
      <c r="H527" s="272"/>
      <c r="I527" s="272"/>
      <c r="J527" s="272"/>
    </row>
    <row r="528" spans="3:10" ht="15">
      <c r="C528" s="272"/>
      <c r="D528" s="272"/>
      <c r="E528" s="272"/>
      <c r="F528" s="272"/>
      <c r="G528" s="272"/>
      <c r="H528" s="272"/>
      <c r="I528" s="272"/>
      <c r="J528" s="272"/>
    </row>
    <row r="529" spans="3:10" ht="15">
      <c r="C529" s="272"/>
      <c r="D529" s="272"/>
      <c r="E529" s="272"/>
      <c r="F529" s="272"/>
      <c r="G529" s="272"/>
      <c r="H529" s="272"/>
      <c r="I529" s="272"/>
      <c r="J529" s="272"/>
    </row>
    <row r="530" spans="3:10" ht="15">
      <c r="C530" s="272"/>
      <c r="D530" s="272"/>
      <c r="E530" s="272"/>
      <c r="F530" s="272"/>
      <c r="G530" s="272"/>
      <c r="H530" s="272"/>
      <c r="I530" s="272"/>
      <c r="J530" s="272"/>
    </row>
    <row r="531" spans="3:10" ht="15">
      <c r="C531" s="272"/>
      <c r="D531" s="272"/>
      <c r="E531" s="272"/>
      <c r="F531" s="272"/>
      <c r="G531" s="272"/>
      <c r="H531" s="272"/>
      <c r="I531" s="272"/>
      <c r="J531" s="272"/>
    </row>
    <row r="532" spans="3:10" ht="15">
      <c r="C532" s="272"/>
      <c r="D532" s="272"/>
      <c r="E532" s="272"/>
      <c r="F532" s="272"/>
      <c r="G532" s="272"/>
      <c r="H532" s="272"/>
      <c r="I532" s="272"/>
      <c r="J532" s="272"/>
    </row>
    <row r="533" spans="3:10" ht="15">
      <c r="C533" s="272"/>
      <c r="D533" s="272"/>
      <c r="E533" s="272"/>
      <c r="F533" s="272"/>
      <c r="G533" s="272"/>
      <c r="H533" s="272"/>
      <c r="I533" s="272"/>
      <c r="J533" s="272"/>
    </row>
    <row r="534" spans="3:10" ht="15">
      <c r="C534" s="272"/>
      <c r="D534" s="272"/>
      <c r="E534" s="272"/>
      <c r="F534" s="272"/>
      <c r="G534" s="272"/>
      <c r="H534" s="272"/>
      <c r="I534" s="272"/>
      <c r="J534" s="272"/>
    </row>
    <row r="535" spans="3:10" ht="15">
      <c r="C535" s="272"/>
      <c r="D535" s="272"/>
      <c r="E535" s="272"/>
      <c r="F535" s="272"/>
      <c r="G535" s="272"/>
      <c r="H535" s="272"/>
      <c r="I535" s="272"/>
      <c r="J535" s="272"/>
    </row>
    <row r="536" spans="3:10" ht="15">
      <c r="C536" s="272"/>
      <c r="D536" s="272"/>
      <c r="E536" s="272"/>
      <c r="F536" s="272"/>
      <c r="G536" s="272"/>
      <c r="H536" s="272"/>
      <c r="I536" s="272"/>
      <c r="J536" s="272"/>
    </row>
    <row r="537" spans="3:10" ht="15">
      <c r="C537" s="272"/>
      <c r="D537" s="272"/>
      <c r="E537" s="272"/>
      <c r="F537" s="272"/>
      <c r="G537" s="272"/>
      <c r="H537" s="272"/>
      <c r="I537" s="272"/>
      <c r="J537" s="272"/>
    </row>
    <row r="538" spans="3:10" ht="15">
      <c r="C538" s="272"/>
      <c r="D538" s="272"/>
      <c r="E538" s="272"/>
      <c r="F538" s="272"/>
      <c r="G538" s="272"/>
      <c r="H538" s="272"/>
      <c r="I538" s="272"/>
      <c r="J538" s="272"/>
    </row>
    <row r="539" spans="3:10" ht="15">
      <c r="C539" s="272"/>
      <c r="D539" s="272"/>
      <c r="E539" s="272"/>
      <c r="F539" s="272"/>
      <c r="G539" s="272"/>
      <c r="H539" s="272"/>
      <c r="I539" s="272"/>
      <c r="J539" s="272"/>
    </row>
    <row r="540" spans="3:10" ht="15">
      <c r="C540" s="272"/>
      <c r="D540" s="272"/>
      <c r="E540" s="272"/>
      <c r="F540" s="272"/>
      <c r="G540" s="272"/>
      <c r="H540" s="272"/>
      <c r="I540" s="272"/>
      <c r="J540" s="272"/>
    </row>
    <row r="541" spans="3:10" ht="15">
      <c r="C541" s="272"/>
      <c r="D541" s="272"/>
      <c r="E541" s="272"/>
      <c r="F541" s="272"/>
      <c r="G541" s="272"/>
      <c r="H541" s="272"/>
      <c r="I541" s="272"/>
      <c r="J541" s="272"/>
    </row>
    <row r="542" spans="3:10" ht="15">
      <c r="C542" s="272"/>
      <c r="D542" s="272"/>
      <c r="E542" s="272"/>
      <c r="F542" s="272"/>
      <c r="G542" s="272"/>
      <c r="H542" s="272"/>
      <c r="I542" s="272"/>
      <c r="J542" s="272"/>
    </row>
    <row r="543" spans="3:10" ht="15">
      <c r="C543" s="272"/>
      <c r="D543" s="272"/>
      <c r="E543" s="272"/>
      <c r="F543" s="272"/>
      <c r="G543" s="272"/>
      <c r="H543" s="272"/>
      <c r="I543" s="272"/>
      <c r="J543" s="272"/>
    </row>
    <row r="544" spans="3:10" ht="15">
      <c r="C544" s="272"/>
      <c r="D544" s="272"/>
      <c r="E544" s="272"/>
      <c r="F544" s="272"/>
      <c r="G544" s="272"/>
      <c r="H544" s="272"/>
      <c r="I544" s="272"/>
      <c r="J544" s="272"/>
    </row>
    <row r="545" spans="3:10" ht="15">
      <c r="C545" s="272"/>
      <c r="D545" s="272"/>
      <c r="E545" s="272"/>
      <c r="F545" s="272"/>
      <c r="G545" s="272"/>
      <c r="H545" s="272"/>
      <c r="I545" s="272"/>
      <c r="J545" s="272"/>
    </row>
    <row r="546" spans="3:10" ht="15">
      <c r="C546" s="272"/>
      <c r="D546" s="272"/>
      <c r="E546" s="272"/>
      <c r="F546" s="272"/>
      <c r="G546" s="272"/>
      <c r="H546" s="272"/>
      <c r="I546" s="272"/>
      <c r="J546" s="272"/>
    </row>
    <row r="547" spans="3:10" ht="15">
      <c r="C547" s="272"/>
      <c r="D547" s="272"/>
      <c r="E547" s="272"/>
      <c r="F547" s="272"/>
      <c r="G547" s="272"/>
      <c r="H547" s="272"/>
      <c r="I547" s="272"/>
      <c r="J547" s="272"/>
    </row>
    <row r="548" spans="3:10" ht="15">
      <c r="C548" s="272"/>
      <c r="D548" s="272"/>
      <c r="E548" s="272"/>
      <c r="F548" s="272"/>
      <c r="G548" s="272"/>
      <c r="H548" s="272"/>
      <c r="I548" s="272"/>
      <c r="J548" s="272"/>
    </row>
    <row r="549" spans="3:10" ht="15">
      <c r="C549" s="272"/>
      <c r="D549" s="272"/>
      <c r="E549" s="272"/>
      <c r="F549" s="272"/>
      <c r="G549" s="272"/>
      <c r="H549" s="272"/>
      <c r="I549" s="272"/>
      <c r="J549" s="272"/>
    </row>
    <row r="550" spans="3:10" ht="15">
      <c r="C550" s="272"/>
      <c r="D550" s="272"/>
      <c r="E550" s="272"/>
      <c r="F550" s="272"/>
      <c r="G550" s="272"/>
      <c r="H550" s="272"/>
      <c r="I550" s="272"/>
      <c r="J550" s="272"/>
    </row>
    <row r="551" spans="3:10" ht="15">
      <c r="C551" s="272"/>
      <c r="D551" s="272"/>
      <c r="E551" s="272"/>
      <c r="F551" s="272"/>
      <c r="G551" s="272"/>
      <c r="H551" s="272"/>
      <c r="I551" s="272"/>
      <c r="J551" s="272"/>
    </row>
    <row r="552" spans="3:10" ht="15">
      <c r="C552" s="272"/>
      <c r="D552" s="272"/>
      <c r="E552" s="272"/>
      <c r="F552" s="272"/>
      <c r="G552" s="272"/>
      <c r="H552" s="272"/>
      <c r="I552" s="272"/>
      <c r="J552" s="272"/>
    </row>
    <row r="553" spans="3:10" ht="15">
      <c r="C553" s="272"/>
      <c r="D553" s="272"/>
      <c r="E553" s="272"/>
      <c r="F553" s="272"/>
      <c r="G553" s="272"/>
      <c r="H553" s="272"/>
      <c r="I553" s="272"/>
      <c r="J553" s="272"/>
    </row>
    <row r="554" spans="3:10" ht="15">
      <c r="C554" s="272"/>
      <c r="D554" s="272"/>
      <c r="E554" s="272"/>
      <c r="F554" s="272"/>
      <c r="G554" s="272"/>
      <c r="H554" s="272"/>
      <c r="I554" s="272"/>
      <c r="J554" s="272"/>
    </row>
    <row r="555" spans="3:10" ht="15">
      <c r="C555" s="272"/>
      <c r="D555" s="272"/>
      <c r="E555" s="272"/>
      <c r="F555" s="272"/>
      <c r="G555" s="272"/>
      <c r="H555" s="272"/>
      <c r="I555" s="272"/>
      <c r="J555" s="272"/>
    </row>
    <row r="556" spans="3:10" ht="15">
      <c r="C556" s="272"/>
      <c r="D556" s="272"/>
      <c r="E556" s="272"/>
      <c r="F556" s="272"/>
      <c r="G556" s="272"/>
      <c r="H556" s="272"/>
      <c r="I556" s="272"/>
      <c r="J556" s="272"/>
    </row>
    <row r="557" spans="3:10" ht="15">
      <c r="C557" s="272"/>
      <c r="D557" s="272"/>
      <c r="E557" s="272"/>
      <c r="F557" s="272"/>
      <c r="G557" s="272"/>
      <c r="H557" s="272"/>
      <c r="I557" s="272"/>
      <c r="J557" s="272"/>
    </row>
    <row r="558" spans="3:10" ht="15">
      <c r="C558" s="272"/>
      <c r="D558" s="272"/>
      <c r="E558" s="272"/>
      <c r="F558" s="272"/>
      <c r="G558" s="272"/>
      <c r="H558" s="272"/>
      <c r="I558" s="272"/>
      <c r="J558" s="272"/>
    </row>
    <row r="559" spans="3:10" ht="15">
      <c r="C559" s="272"/>
      <c r="D559" s="272"/>
      <c r="E559" s="272"/>
      <c r="F559" s="272"/>
      <c r="G559" s="272"/>
      <c r="H559" s="272"/>
      <c r="I559" s="272"/>
      <c r="J559" s="272"/>
    </row>
    <row r="560" spans="3:10" ht="15">
      <c r="C560" s="272"/>
      <c r="D560" s="272"/>
      <c r="E560" s="272"/>
      <c r="F560" s="272"/>
      <c r="G560" s="272"/>
      <c r="H560" s="272"/>
      <c r="I560" s="272"/>
      <c r="J560" s="272"/>
    </row>
    <row r="561" spans="3:10" ht="15">
      <c r="C561" s="272"/>
      <c r="D561" s="272"/>
      <c r="E561" s="272"/>
      <c r="F561" s="272"/>
      <c r="G561" s="272"/>
      <c r="H561" s="272"/>
      <c r="I561" s="272"/>
      <c r="J561" s="272"/>
    </row>
    <row r="562" spans="3:10" ht="15">
      <c r="C562" s="272"/>
      <c r="D562" s="272"/>
      <c r="E562" s="272"/>
      <c r="F562" s="272"/>
      <c r="G562" s="272"/>
      <c r="H562" s="272"/>
      <c r="I562" s="272"/>
      <c r="J562" s="272"/>
    </row>
    <row r="563" spans="3:10" ht="15">
      <c r="C563" s="272"/>
      <c r="D563" s="272"/>
      <c r="E563" s="272"/>
      <c r="F563" s="272"/>
      <c r="G563" s="272"/>
      <c r="H563" s="272"/>
      <c r="I563" s="272"/>
      <c r="J563" s="272"/>
    </row>
    <row r="564" spans="3:10" ht="15">
      <c r="C564" s="272"/>
      <c r="D564" s="272"/>
      <c r="E564" s="272"/>
      <c r="F564" s="272"/>
      <c r="G564" s="272"/>
      <c r="H564" s="272"/>
      <c r="I564" s="272"/>
      <c r="J564" s="272"/>
    </row>
    <row r="565" spans="3:10" ht="15">
      <c r="C565" s="272"/>
      <c r="D565" s="272"/>
      <c r="E565" s="272"/>
      <c r="F565" s="272"/>
      <c r="G565" s="272"/>
      <c r="H565" s="272"/>
      <c r="I565" s="272"/>
      <c r="J565" s="272"/>
    </row>
    <row r="566" spans="3:10" ht="15">
      <c r="C566" s="272"/>
      <c r="D566" s="272"/>
      <c r="E566" s="272"/>
      <c r="F566" s="272"/>
      <c r="G566" s="272"/>
      <c r="H566" s="272"/>
      <c r="I566" s="272"/>
      <c r="J566" s="272"/>
    </row>
    <row r="567" spans="3:10" ht="15">
      <c r="C567" s="272"/>
      <c r="D567" s="272"/>
      <c r="E567" s="272"/>
      <c r="F567" s="272"/>
      <c r="G567" s="272"/>
      <c r="H567" s="272"/>
      <c r="I567" s="272"/>
      <c r="J567" s="272"/>
    </row>
    <row r="568" spans="3:10" ht="15">
      <c r="C568" s="272"/>
      <c r="D568" s="272"/>
      <c r="E568" s="272"/>
      <c r="F568" s="272"/>
      <c r="G568" s="272"/>
      <c r="H568" s="272"/>
      <c r="I568" s="272"/>
      <c r="J568" s="272"/>
    </row>
    <row r="569" spans="3:10" ht="15">
      <c r="C569" s="272"/>
      <c r="D569" s="272"/>
      <c r="E569" s="272"/>
      <c r="F569" s="272"/>
      <c r="G569" s="272"/>
      <c r="H569" s="272"/>
      <c r="I569" s="272"/>
      <c r="J569" s="272"/>
    </row>
    <row r="570" spans="3:10" ht="15">
      <c r="C570" s="272"/>
      <c r="D570" s="272"/>
      <c r="E570" s="272"/>
      <c r="F570" s="272"/>
      <c r="G570" s="272"/>
      <c r="H570" s="272"/>
      <c r="I570" s="272"/>
      <c r="J570" s="272"/>
    </row>
    <row r="571" spans="3:10" ht="15">
      <c r="C571" s="272"/>
      <c r="D571" s="272"/>
      <c r="E571" s="272"/>
      <c r="F571" s="272"/>
      <c r="G571" s="272"/>
      <c r="H571" s="272"/>
      <c r="I571" s="272"/>
      <c r="J571" s="272"/>
    </row>
    <row r="572" spans="3:10" ht="15">
      <c r="C572" s="272"/>
      <c r="D572" s="272"/>
      <c r="E572" s="272"/>
      <c r="F572" s="272"/>
      <c r="G572" s="272"/>
      <c r="H572" s="272"/>
      <c r="I572" s="272"/>
      <c r="J572" s="272"/>
    </row>
    <row r="573" spans="3:10" ht="15">
      <c r="C573" s="272"/>
      <c r="D573" s="272"/>
      <c r="E573" s="272"/>
      <c r="F573" s="272"/>
      <c r="G573" s="272"/>
      <c r="H573" s="272"/>
      <c r="I573" s="272"/>
      <c r="J573" s="272"/>
    </row>
    <row r="574" spans="3:10" ht="15">
      <c r="C574" s="272"/>
      <c r="D574" s="272"/>
      <c r="E574" s="272"/>
      <c r="F574" s="272"/>
      <c r="G574" s="272"/>
      <c r="H574" s="272"/>
      <c r="I574" s="272"/>
      <c r="J574" s="272"/>
    </row>
    <row r="575" spans="3:10" ht="15">
      <c r="C575" s="272"/>
      <c r="D575" s="272"/>
      <c r="E575" s="272"/>
      <c r="F575" s="272"/>
      <c r="G575" s="272"/>
      <c r="H575" s="272"/>
      <c r="I575" s="272"/>
      <c r="J575" s="272"/>
    </row>
    <row r="576" spans="3:10" ht="15">
      <c r="C576" s="272"/>
      <c r="D576" s="272"/>
      <c r="E576" s="272"/>
      <c r="F576" s="272"/>
      <c r="G576" s="272"/>
      <c r="H576" s="272"/>
      <c r="I576" s="272"/>
      <c r="J576" s="272"/>
    </row>
    <row r="577" spans="8:10" ht="15">
      <c r="H577" s="272"/>
      <c r="I577" s="272"/>
      <c r="J577" s="272"/>
    </row>
    <row r="578" spans="8:10" ht="15">
      <c r="H578" s="272"/>
      <c r="I578" s="272"/>
      <c r="J578" s="272"/>
    </row>
  </sheetData>
  <sheetProtection/>
  <mergeCells count="4">
    <mergeCell ref="D1:F2"/>
    <mergeCell ref="G1:G2"/>
    <mergeCell ref="H1:H2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OVTES-palkanlaskentaohjelma 1.1.2018 lukien</dc:title>
  <dc:subject>OVTES-palkanlaskentaohjelma 1.1.2018 lukien</dc:subject>
  <dc:creator>Kunnallinen työmarkkinalaitos</dc:creator>
  <cp:keywords/>
  <dc:description/>
  <cp:lastModifiedBy>Mattila Marjaana</cp:lastModifiedBy>
  <cp:lastPrinted>2008-05-12T08:11:22Z</cp:lastPrinted>
  <dcterms:created xsi:type="dcterms:W3CDTF">2000-02-01T07:49:18Z</dcterms:created>
  <dcterms:modified xsi:type="dcterms:W3CDTF">2018-12-21T11:39:32Z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2Description">
    <vt:lpwstr>Helppokäyttöinen Excel-ohjelma opettajien palkanlaskennan perustilanteisiin. 
Se sisältää kaikki OVTES 2014–2016:n hinnoittelutunnukset.</vt:lpwstr>
  </property>
  <property fmtid="{D5CDD505-2E9C-101B-9397-08002B2CF9AE}" pid="3" name="KN2Keywords">
    <vt:lpwstr/>
  </property>
  <property fmtid="{D5CDD505-2E9C-101B-9397-08002B2CF9AE}" pid="4" name="Theme">
    <vt:lpwstr/>
  </property>
  <property fmtid="{D5CDD505-2E9C-101B-9397-08002B2CF9AE}" pid="5" name="KN2KeywordsTaxHTField0">
    <vt:lpwstr/>
  </property>
  <property fmtid="{D5CDD505-2E9C-101B-9397-08002B2CF9AE}" pid="6" name="ThemeTaxHTField0">
    <vt:lpwstr/>
  </property>
  <property fmtid="{D5CDD505-2E9C-101B-9397-08002B2CF9AE}" pid="7" name="TaxCatchAll">
    <vt:lpwstr/>
  </property>
  <property fmtid="{D5CDD505-2E9C-101B-9397-08002B2CF9AE}" pid="8" name="_dlc_DocId">
    <vt:lpwstr>E6NQPWJF6HVP-608-18</vt:lpwstr>
  </property>
  <property fmtid="{D5CDD505-2E9C-101B-9397-08002B2CF9AE}" pid="9" name="_dlc_DocIdItemGuid">
    <vt:lpwstr>fff5ef75-344f-465a-aa93-2725f90f380b</vt:lpwstr>
  </property>
  <property fmtid="{D5CDD505-2E9C-101B-9397-08002B2CF9AE}" pid="10" name="_dlc_DocIdUrl">
    <vt:lpwstr>http://kt.kl-spfarm1/fi/sopimukset/opettajat/palkat-ja-palkkiot/_layouts/DocIdRedir.aspx?ID=E6NQPWJF6HVP-608-18, E6NQPWJF6HVP-608-18</vt:lpwstr>
  </property>
</Properties>
</file>