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 codeName="TämäTyökirja" defaultThemeVersion="124226"/>
  <mc:AlternateContent xmlns:mc="http://schemas.openxmlformats.org/markup-compatibility/2006">
    <mc:Choice Requires="x15">
      <x15ac:absPath xmlns:x15ac="http://schemas.microsoft.com/office/spreadsheetml/2010/11/ac" url="https://ktfin-my.sharepoint.com/personal/marjaana_mattila_kt_fi/Documents/Työpöytä/ovtes-palkat20240619/"/>
    </mc:Choice>
  </mc:AlternateContent>
  <xr:revisionPtr revIDLastSave="98" documentId="8_{9F936C94-D4C1-4E54-901E-CB3C9B552540}" xr6:coauthVersionLast="47" xr6:coauthVersionMax="47" xr10:uidLastSave="{34D0BA1B-DE61-4E10-9660-55713866D8B6}"/>
  <workbookProtection lockStructure="1"/>
  <bookViews>
    <workbookView xWindow="-108" yWindow="-108" windowWidth="23256" windowHeight="12456" xr2:uid="{00000000-000D-0000-FFFF-FFFF00000000}"/>
  </bookViews>
  <sheets>
    <sheet name="KÄYTTÖTAULU" sheetId="18" r:id="rId1"/>
    <sheet name="muut muuttujat" sheetId="19" state="hidden" r:id="rId2"/>
    <sheet name="virheet" sheetId="20" state="hidden" r:id="rId3"/>
    <sheet name="laskenta" sheetId="17" state="hidden" r:id="rId4"/>
    <sheet name="vuosityö ja aikk laskenta" sheetId="22" state="hidden" r:id="rId5"/>
    <sheet name="1.6.2024" sheetId="24" state="hidden" r:id="rId6"/>
    <sheet name="Taul1" sheetId="25" state="hidden" r:id="rId7"/>
  </sheets>
  <calcPr calcId="191029"/>
  <customWorkbookViews>
    <customWorkbookView name="freunha - Oma näkymä" guid="{47112B69-009E-46FE-82EA-A4F5B6C4FF1D}" mergeInterval="0" personalView="1" maximized="1" windowWidth="1020" windowHeight="498" activeSheetId="1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7" i="17" l="1"/>
  <c r="P87" i="17"/>
  <c r="O88" i="17"/>
  <c r="P88" i="17"/>
  <c r="O89" i="17"/>
  <c r="P89" i="17"/>
  <c r="P86" i="17"/>
  <c r="O86" i="17"/>
  <c r="O79" i="17"/>
  <c r="P79" i="17"/>
  <c r="O80" i="17"/>
  <c r="P80" i="17"/>
  <c r="O81" i="17"/>
  <c r="P81" i="17"/>
  <c r="P78" i="17"/>
  <c r="O78" i="17"/>
  <c r="O55" i="17"/>
  <c r="P55" i="17"/>
  <c r="O56" i="17"/>
  <c r="P56" i="17"/>
  <c r="O57" i="17"/>
  <c r="P57" i="17"/>
  <c r="O58" i="17"/>
  <c r="P58" i="17"/>
  <c r="O59" i="17"/>
  <c r="P59" i="17"/>
  <c r="O60" i="17"/>
  <c r="P60" i="17"/>
  <c r="O61" i="17"/>
  <c r="P61" i="17"/>
  <c r="O62" i="17"/>
  <c r="P62" i="17"/>
  <c r="O63" i="17"/>
  <c r="P63" i="17"/>
  <c r="O64" i="17"/>
  <c r="P64" i="17"/>
  <c r="O65" i="17"/>
  <c r="P65" i="17"/>
  <c r="O66" i="17"/>
  <c r="P66" i="17"/>
  <c r="O67" i="17"/>
  <c r="P67" i="17"/>
  <c r="O68" i="17"/>
  <c r="P68" i="17"/>
  <c r="O69" i="17"/>
  <c r="P69" i="17"/>
  <c r="O70" i="17"/>
  <c r="P70" i="17"/>
  <c r="O71" i="17"/>
  <c r="P71" i="17"/>
  <c r="O72" i="17"/>
  <c r="P72" i="17"/>
  <c r="O73" i="17"/>
  <c r="P73" i="17"/>
  <c r="P54" i="17"/>
  <c r="O54" i="17"/>
  <c r="E160" i="24"/>
  <c r="D160" i="24"/>
  <c r="E155" i="24"/>
  <c r="D155" i="24"/>
  <c r="E150" i="24"/>
  <c r="D150" i="24"/>
  <c r="D145" i="24"/>
  <c r="D146" i="24"/>
  <c r="D144" i="24"/>
  <c r="D129" i="24"/>
  <c r="C103" i="17" l="1"/>
  <c r="C104" i="17"/>
  <c r="O138" i="24"/>
  <c r="O137" i="24"/>
  <c r="O136" i="24"/>
  <c r="O135" i="24"/>
  <c r="O134" i="24"/>
  <c r="N12" i="22" s="1"/>
  <c r="O133" i="24"/>
  <c r="O132" i="24"/>
  <c r="O131" i="24"/>
  <c r="O130" i="24"/>
  <c r="N6" i="22" s="1"/>
  <c r="O129" i="24"/>
  <c r="N138" i="24"/>
  <c r="N137" i="24"/>
  <c r="N136" i="24"/>
  <c r="N135" i="24"/>
  <c r="N134" i="24"/>
  <c r="M12" i="22" s="1"/>
  <c r="N133" i="24"/>
  <c r="N132" i="24"/>
  <c r="N131" i="24"/>
  <c r="M7" i="22" s="1"/>
  <c r="N130" i="24"/>
  <c r="M6" i="22" s="1"/>
  <c r="N129" i="24"/>
  <c r="M138" i="24"/>
  <c r="M137" i="24"/>
  <c r="M136" i="24"/>
  <c r="M135" i="24"/>
  <c r="M134" i="24"/>
  <c r="L12" i="22" s="1"/>
  <c r="M133" i="24"/>
  <c r="M132" i="24"/>
  <c r="M131" i="24"/>
  <c r="M130" i="24"/>
  <c r="L6" i="22" s="1"/>
  <c r="M129" i="24"/>
  <c r="L138" i="24"/>
  <c r="L137" i="24"/>
  <c r="L136" i="24"/>
  <c r="L135" i="24"/>
  <c r="L134" i="24"/>
  <c r="K12" i="22" s="1"/>
  <c r="L133" i="24"/>
  <c r="L132" i="24"/>
  <c r="L131" i="24"/>
  <c r="K7" i="22" s="1"/>
  <c r="L130" i="24"/>
  <c r="L129" i="24"/>
  <c r="J138" i="24"/>
  <c r="J137" i="24"/>
  <c r="J136" i="24"/>
  <c r="J135" i="24"/>
  <c r="J134" i="24"/>
  <c r="I12" i="22" s="1"/>
  <c r="J133" i="24"/>
  <c r="J132" i="24"/>
  <c r="J131" i="24"/>
  <c r="J130" i="24"/>
  <c r="I6" i="22" s="1"/>
  <c r="K138" i="24"/>
  <c r="K137" i="24"/>
  <c r="K136" i="24"/>
  <c r="K135" i="24"/>
  <c r="K134" i="24"/>
  <c r="J12" i="22" s="1"/>
  <c r="K133" i="24"/>
  <c r="K132" i="24"/>
  <c r="K131" i="24"/>
  <c r="K130" i="24"/>
  <c r="K129" i="24"/>
  <c r="J5" i="22" s="1"/>
  <c r="J129" i="24"/>
  <c r="I138" i="24"/>
  <c r="H138" i="24"/>
  <c r="G138" i="24"/>
  <c r="F138" i="24"/>
  <c r="E138" i="24"/>
  <c r="I137" i="24"/>
  <c r="H137" i="24"/>
  <c r="G137" i="24"/>
  <c r="F137" i="24"/>
  <c r="E10" i="22" s="1"/>
  <c r="E137" i="24"/>
  <c r="D10" i="22" s="1"/>
  <c r="I136" i="24"/>
  <c r="H136" i="24"/>
  <c r="G136" i="24"/>
  <c r="F136" i="24"/>
  <c r="E136" i="24"/>
  <c r="I135" i="24"/>
  <c r="H135" i="24"/>
  <c r="G135" i="24"/>
  <c r="F9" i="22" s="1"/>
  <c r="F135" i="24"/>
  <c r="E9" i="22" s="1"/>
  <c r="E135" i="24"/>
  <c r="I134" i="24"/>
  <c r="H12" i="22" s="1"/>
  <c r="H134" i="24"/>
  <c r="G12" i="22" s="1"/>
  <c r="G134" i="24"/>
  <c r="F12" i="22" s="1"/>
  <c r="F134" i="24"/>
  <c r="E12" i="22" s="1"/>
  <c r="E134" i="24"/>
  <c r="D12" i="22" s="1"/>
  <c r="I133" i="24"/>
  <c r="H133" i="24"/>
  <c r="G133" i="24"/>
  <c r="F133" i="24"/>
  <c r="E8" i="22" s="1"/>
  <c r="E133" i="24"/>
  <c r="I132" i="24"/>
  <c r="H132" i="24"/>
  <c r="G132" i="24"/>
  <c r="F132" i="24"/>
  <c r="E132" i="24"/>
  <c r="D132" i="24"/>
  <c r="I131" i="24"/>
  <c r="H131" i="24"/>
  <c r="G7" i="22" s="1"/>
  <c r="G131" i="24"/>
  <c r="F7" i="22" s="1"/>
  <c r="F131" i="24"/>
  <c r="E131" i="24"/>
  <c r="I130" i="24"/>
  <c r="G130" i="24"/>
  <c r="H130" i="24"/>
  <c r="F130" i="24"/>
  <c r="E130" i="24"/>
  <c r="D130" i="24"/>
  <c r="I129" i="24"/>
  <c r="H129" i="24"/>
  <c r="G129" i="24"/>
  <c r="F129" i="24"/>
  <c r="E129" i="24"/>
  <c r="D138" i="24"/>
  <c r="D137" i="24"/>
  <c r="D136" i="24"/>
  <c r="D135" i="24"/>
  <c r="D134" i="24"/>
  <c r="C12" i="22" s="1"/>
  <c r="D133" i="24"/>
  <c r="C8" i="22" s="1"/>
  <c r="D131" i="24"/>
  <c r="C7" i="22" s="1"/>
  <c r="D10" i="24"/>
  <c r="E10" i="24"/>
  <c r="F10" i="24"/>
  <c r="G10" i="24"/>
  <c r="D11" i="24"/>
  <c r="E11" i="24"/>
  <c r="F11" i="24"/>
  <c r="G11" i="24"/>
  <c r="D12" i="24"/>
  <c r="E12" i="24"/>
  <c r="F12" i="24"/>
  <c r="D9" i="17" s="1"/>
  <c r="F9" i="17" s="1"/>
  <c r="G12" i="24"/>
  <c r="D13" i="24"/>
  <c r="E13" i="24"/>
  <c r="F13" i="24"/>
  <c r="G13" i="24"/>
  <c r="D14" i="24"/>
  <c r="E14" i="24"/>
  <c r="F14" i="24"/>
  <c r="D11" i="17" s="1"/>
  <c r="F11" i="17" s="1"/>
  <c r="G14" i="24"/>
  <c r="D15" i="24"/>
  <c r="E15" i="24"/>
  <c r="F15" i="24"/>
  <c r="G15" i="24"/>
  <c r="D16" i="24"/>
  <c r="E16" i="24"/>
  <c r="F16" i="24"/>
  <c r="G16" i="24"/>
  <c r="D17" i="24"/>
  <c r="E17" i="24"/>
  <c r="F17" i="24"/>
  <c r="D14" i="17" s="1"/>
  <c r="F14" i="17" s="1"/>
  <c r="G17" i="24"/>
  <c r="D18" i="24"/>
  <c r="E18" i="24"/>
  <c r="F18" i="24"/>
  <c r="G18" i="24"/>
  <c r="D19" i="24"/>
  <c r="E19" i="24"/>
  <c r="F19" i="24"/>
  <c r="D16" i="17" s="1"/>
  <c r="F16" i="17" s="1"/>
  <c r="G19" i="24"/>
  <c r="D20" i="24"/>
  <c r="E20" i="24"/>
  <c r="F20" i="24"/>
  <c r="G20" i="24"/>
  <c r="D21" i="24"/>
  <c r="E21" i="24"/>
  <c r="F21" i="24"/>
  <c r="G21" i="24"/>
  <c r="D22" i="24"/>
  <c r="E22" i="24"/>
  <c r="F22" i="24"/>
  <c r="D19" i="17" s="1"/>
  <c r="F19" i="17" s="1"/>
  <c r="G22" i="24"/>
  <c r="D23" i="24"/>
  <c r="E23" i="24"/>
  <c r="F23" i="24"/>
  <c r="G23" i="24"/>
  <c r="D24" i="24"/>
  <c r="E24" i="24"/>
  <c r="F24" i="24"/>
  <c r="G24" i="24"/>
  <c r="D25" i="24"/>
  <c r="E25" i="24"/>
  <c r="F25" i="24"/>
  <c r="G25" i="24"/>
  <c r="D26" i="24"/>
  <c r="E26" i="24"/>
  <c r="F26" i="24"/>
  <c r="G26" i="24"/>
  <c r="D27" i="24"/>
  <c r="E27" i="24"/>
  <c r="F27" i="24"/>
  <c r="D24" i="17" s="1"/>
  <c r="F24" i="17" s="1"/>
  <c r="G27" i="24"/>
  <c r="D28" i="24"/>
  <c r="E28" i="24"/>
  <c r="F28" i="24"/>
  <c r="G28" i="24"/>
  <c r="D29" i="24"/>
  <c r="E29" i="24"/>
  <c r="F29" i="24"/>
  <c r="D26" i="17" s="1"/>
  <c r="F26" i="17" s="1"/>
  <c r="G29" i="24"/>
  <c r="D30" i="24"/>
  <c r="E30" i="24"/>
  <c r="F30" i="24"/>
  <c r="G30" i="24"/>
  <c r="D31" i="24"/>
  <c r="E31" i="24"/>
  <c r="F31" i="24"/>
  <c r="G31" i="24"/>
  <c r="D32" i="24"/>
  <c r="E32" i="24"/>
  <c r="F32" i="24"/>
  <c r="G32" i="24"/>
  <c r="D33" i="24"/>
  <c r="E33" i="24"/>
  <c r="F33" i="24"/>
  <c r="G33" i="24"/>
  <c r="D34" i="24"/>
  <c r="E34" i="24"/>
  <c r="F34" i="24"/>
  <c r="G34" i="24"/>
  <c r="D35" i="24"/>
  <c r="E35" i="24"/>
  <c r="F35" i="24"/>
  <c r="G35" i="24"/>
  <c r="D36" i="24"/>
  <c r="E36" i="24"/>
  <c r="F36" i="24"/>
  <c r="G36" i="24"/>
  <c r="D37" i="24"/>
  <c r="E37" i="24"/>
  <c r="F37" i="24"/>
  <c r="D34" i="17" s="1"/>
  <c r="F34" i="17" s="1"/>
  <c r="G37" i="24"/>
  <c r="D38" i="24"/>
  <c r="E38" i="24"/>
  <c r="F38" i="24"/>
  <c r="G38" i="24"/>
  <c r="D39" i="24"/>
  <c r="E39" i="24"/>
  <c r="F39" i="24"/>
  <c r="D36" i="17" s="1"/>
  <c r="F36" i="17" s="1"/>
  <c r="G39" i="24"/>
  <c r="D40" i="24"/>
  <c r="C37" i="17" s="1"/>
  <c r="E37" i="17" s="1"/>
  <c r="E40" i="24"/>
  <c r="F40" i="24"/>
  <c r="D37" i="17" s="1"/>
  <c r="F37" i="17" s="1"/>
  <c r="G40" i="24"/>
  <c r="D41" i="24"/>
  <c r="E41" i="24"/>
  <c r="F41" i="24"/>
  <c r="G41" i="24"/>
  <c r="D42" i="24"/>
  <c r="E42" i="24"/>
  <c r="F42" i="24"/>
  <c r="D39" i="17" s="1"/>
  <c r="F39" i="17" s="1"/>
  <c r="G42" i="24"/>
  <c r="D43" i="24"/>
  <c r="E43" i="24"/>
  <c r="F43" i="24"/>
  <c r="G43" i="24"/>
  <c r="D44" i="24"/>
  <c r="E44" i="24"/>
  <c r="F44" i="24"/>
  <c r="D41" i="17" s="1"/>
  <c r="F41" i="17" s="1"/>
  <c r="G44" i="24"/>
  <c r="D45" i="24"/>
  <c r="E45" i="24"/>
  <c r="F45" i="24"/>
  <c r="G45" i="24"/>
  <c r="D46" i="24"/>
  <c r="E46" i="24"/>
  <c r="F46" i="24"/>
  <c r="G46" i="24"/>
  <c r="D47" i="24"/>
  <c r="C44" i="17" s="1"/>
  <c r="E44" i="17" s="1"/>
  <c r="E47" i="24"/>
  <c r="F47" i="24"/>
  <c r="D44" i="17" s="1"/>
  <c r="F44" i="17" s="1"/>
  <c r="G47" i="24"/>
  <c r="D48" i="24"/>
  <c r="E48" i="24"/>
  <c r="F48" i="24"/>
  <c r="G48" i="24"/>
  <c r="D49" i="24"/>
  <c r="E49" i="24"/>
  <c r="F49" i="24"/>
  <c r="D46" i="17" s="1"/>
  <c r="F46" i="17" s="1"/>
  <c r="G49" i="24"/>
  <c r="D50" i="24"/>
  <c r="E50" i="24"/>
  <c r="F50" i="24"/>
  <c r="G50" i="24"/>
  <c r="D51" i="24"/>
  <c r="E51" i="24"/>
  <c r="F51" i="24"/>
  <c r="G51" i="24"/>
  <c r="D52" i="24"/>
  <c r="E52" i="24"/>
  <c r="F52" i="24"/>
  <c r="D49" i="17" s="1"/>
  <c r="F49" i="17" s="1"/>
  <c r="G52" i="24"/>
  <c r="D53" i="24"/>
  <c r="E53" i="24"/>
  <c r="F53" i="24"/>
  <c r="G53" i="24"/>
  <c r="D54" i="24"/>
  <c r="E54" i="24"/>
  <c r="F54" i="24"/>
  <c r="D51" i="17" s="1"/>
  <c r="F51" i="17" s="1"/>
  <c r="G54" i="24"/>
  <c r="D55" i="24"/>
  <c r="E55" i="24"/>
  <c r="F55" i="24"/>
  <c r="G55" i="24"/>
  <c r="D56" i="24"/>
  <c r="E56" i="24"/>
  <c r="F56" i="24"/>
  <c r="G56" i="24"/>
  <c r="D57" i="24"/>
  <c r="E57" i="24"/>
  <c r="F57" i="24"/>
  <c r="D54" i="17" s="1"/>
  <c r="F54" i="17" s="1"/>
  <c r="G57" i="24"/>
  <c r="D58" i="24"/>
  <c r="E58" i="24"/>
  <c r="F58" i="24"/>
  <c r="G58" i="24"/>
  <c r="D59" i="24"/>
  <c r="E59" i="24"/>
  <c r="F59" i="24"/>
  <c r="D56" i="17" s="1"/>
  <c r="F56" i="17" s="1"/>
  <c r="G59" i="24"/>
  <c r="D60" i="24"/>
  <c r="C57" i="17" s="1"/>
  <c r="E57" i="17" s="1"/>
  <c r="E60" i="24"/>
  <c r="F60" i="24"/>
  <c r="G60" i="24"/>
  <c r="D61" i="24"/>
  <c r="C58" i="17" s="1"/>
  <c r="E58" i="17" s="1"/>
  <c r="E61" i="24"/>
  <c r="F61" i="24"/>
  <c r="G61" i="24"/>
  <c r="D62" i="24"/>
  <c r="E62" i="24"/>
  <c r="F62" i="24"/>
  <c r="D59" i="17" s="1"/>
  <c r="F59" i="17" s="1"/>
  <c r="G62" i="24"/>
  <c r="D63" i="24"/>
  <c r="E63" i="24"/>
  <c r="F63" i="24"/>
  <c r="G63" i="24"/>
  <c r="D64" i="24"/>
  <c r="E64" i="24"/>
  <c r="F64" i="24"/>
  <c r="D61" i="17" s="1"/>
  <c r="F61" i="17" s="1"/>
  <c r="G64" i="24"/>
  <c r="D65" i="24"/>
  <c r="E65" i="24"/>
  <c r="F65" i="24"/>
  <c r="G65" i="24"/>
  <c r="D66" i="24"/>
  <c r="E66" i="24"/>
  <c r="F66" i="24"/>
  <c r="G66" i="24"/>
  <c r="D67" i="24"/>
  <c r="E67" i="24"/>
  <c r="F67" i="24"/>
  <c r="D64" i="17" s="1"/>
  <c r="F64" i="17" s="1"/>
  <c r="G67" i="24"/>
  <c r="D68" i="24"/>
  <c r="E68" i="24"/>
  <c r="F68" i="24"/>
  <c r="G68" i="24"/>
  <c r="D69" i="24"/>
  <c r="E69" i="24"/>
  <c r="F69" i="24"/>
  <c r="D66" i="17" s="1"/>
  <c r="F66" i="17" s="1"/>
  <c r="G69" i="24"/>
  <c r="D70" i="24"/>
  <c r="E70" i="24"/>
  <c r="F70" i="24"/>
  <c r="G70" i="24"/>
  <c r="D71" i="24"/>
  <c r="E71" i="24"/>
  <c r="F71" i="24"/>
  <c r="G71" i="24"/>
  <c r="D72" i="24"/>
  <c r="E72" i="24"/>
  <c r="F72" i="24"/>
  <c r="D69" i="17" s="1"/>
  <c r="F69" i="17" s="1"/>
  <c r="G72" i="24"/>
  <c r="D73" i="24"/>
  <c r="E73" i="24"/>
  <c r="F73" i="24"/>
  <c r="G73" i="24"/>
  <c r="D74" i="24"/>
  <c r="E74" i="24"/>
  <c r="F74" i="24"/>
  <c r="D71" i="17" s="1"/>
  <c r="F71" i="17" s="1"/>
  <c r="G74" i="24"/>
  <c r="D75" i="24"/>
  <c r="E75" i="24"/>
  <c r="F75" i="24"/>
  <c r="G75" i="24"/>
  <c r="D76" i="24"/>
  <c r="E76" i="24"/>
  <c r="F76" i="24"/>
  <c r="G76" i="24"/>
  <c r="D77" i="24"/>
  <c r="C74" i="17" s="1"/>
  <c r="E74" i="17" s="1"/>
  <c r="E77" i="24"/>
  <c r="F77" i="24"/>
  <c r="D74" i="17" s="1"/>
  <c r="F74" i="17" s="1"/>
  <c r="G77" i="24"/>
  <c r="D78" i="24"/>
  <c r="E78" i="24"/>
  <c r="F78" i="24"/>
  <c r="G78" i="24"/>
  <c r="D79" i="24"/>
  <c r="E79" i="24"/>
  <c r="F79" i="24"/>
  <c r="D76" i="17" s="1"/>
  <c r="F76" i="17" s="1"/>
  <c r="G79" i="24"/>
  <c r="D80" i="24"/>
  <c r="E80" i="24"/>
  <c r="F80" i="24"/>
  <c r="G80" i="24"/>
  <c r="D81" i="24"/>
  <c r="E81" i="24"/>
  <c r="F81" i="24"/>
  <c r="G81" i="24"/>
  <c r="D82" i="24"/>
  <c r="E82" i="24"/>
  <c r="F82" i="24"/>
  <c r="D79" i="17" s="1"/>
  <c r="F79" i="17" s="1"/>
  <c r="G82" i="24"/>
  <c r="D83" i="24"/>
  <c r="E83" i="24"/>
  <c r="F83" i="24"/>
  <c r="G83" i="24"/>
  <c r="D84" i="24"/>
  <c r="E84" i="24"/>
  <c r="F84" i="24"/>
  <c r="D81" i="17" s="1"/>
  <c r="F81" i="17" s="1"/>
  <c r="G84" i="24"/>
  <c r="D85" i="24"/>
  <c r="C82" i="17" s="1"/>
  <c r="E82" i="17" s="1"/>
  <c r="E85" i="24"/>
  <c r="F85" i="24"/>
  <c r="G85" i="24"/>
  <c r="D86" i="24"/>
  <c r="C83" i="17" s="1"/>
  <c r="E83" i="17" s="1"/>
  <c r="E86" i="24"/>
  <c r="F86" i="24"/>
  <c r="G86" i="24"/>
  <c r="D87" i="24"/>
  <c r="E87" i="24"/>
  <c r="F87" i="24"/>
  <c r="D84" i="17" s="1"/>
  <c r="F84" i="17" s="1"/>
  <c r="G87" i="24"/>
  <c r="D88" i="24"/>
  <c r="E88" i="24"/>
  <c r="F88" i="24"/>
  <c r="G88" i="24"/>
  <c r="D89" i="24"/>
  <c r="E89" i="24"/>
  <c r="F89" i="24"/>
  <c r="D86" i="17" s="1"/>
  <c r="F86" i="17" s="1"/>
  <c r="G89" i="24"/>
  <c r="D90" i="24"/>
  <c r="E90" i="24"/>
  <c r="F90" i="24"/>
  <c r="G90" i="24"/>
  <c r="D91" i="24"/>
  <c r="E91" i="24"/>
  <c r="F91" i="24"/>
  <c r="D88" i="17" s="1"/>
  <c r="F88" i="17" s="1"/>
  <c r="G91" i="24"/>
  <c r="D92" i="24"/>
  <c r="E92" i="24"/>
  <c r="F92" i="24"/>
  <c r="D89" i="17" s="1"/>
  <c r="F89" i="17" s="1"/>
  <c r="G92" i="24"/>
  <c r="D93" i="24"/>
  <c r="E93" i="24"/>
  <c r="F93" i="24"/>
  <c r="G93" i="24"/>
  <c r="D94" i="24"/>
  <c r="E94" i="24"/>
  <c r="F94" i="24"/>
  <c r="D91" i="17" s="1"/>
  <c r="F91" i="17" s="1"/>
  <c r="G94" i="24"/>
  <c r="D95" i="24"/>
  <c r="E95" i="24"/>
  <c r="F95" i="24"/>
  <c r="G95" i="24"/>
  <c r="D96" i="24"/>
  <c r="E96" i="24"/>
  <c r="F96" i="24"/>
  <c r="D93" i="17" s="1"/>
  <c r="F93" i="17" s="1"/>
  <c r="G96" i="24"/>
  <c r="D97" i="24"/>
  <c r="E97" i="24"/>
  <c r="F97" i="24"/>
  <c r="D94" i="17" s="1"/>
  <c r="F94" i="17" s="1"/>
  <c r="G97" i="24"/>
  <c r="D98" i="24"/>
  <c r="C95" i="17" s="1"/>
  <c r="E95" i="17" s="1"/>
  <c r="E98" i="24"/>
  <c r="F98" i="24"/>
  <c r="G98" i="24"/>
  <c r="D99" i="24"/>
  <c r="E99" i="24"/>
  <c r="F99" i="24"/>
  <c r="D96" i="17" s="1"/>
  <c r="F96" i="17" s="1"/>
  <c r="G99" i="24"/>
  <c r="D100" i="24"/>
  <c r="C97" i="17" s="1"/>
  <c r="E97" i="17" s="1"/>
  <c r="E100" i="24"/>
  <c r="F100" i="24"/>
  <c r="D97" i="17" s="1"/>
  <c r="F97" i="17" s="1"/>
  <c r="G100" i="24"/>
  <c r="D101" i="24"/>
  <c r="C98" i="17" s="1"/>
  <c r="E98" i="17" s="1"/>
  <c r="E101" i="24"/>
  <c r="F101" i="24"/>
  <c r="D98" i="17" s="1"/>
  <c r="F98" i="17" s="1"/>
  <c r="G101" i="24"/>
  <c r="D102" i="24"/>
  <c r="C99" i="17" s="1"/>
  <c r="E99" i="17" s="1"/>
  <c r="E102" i="24"/>
  <c r="F102" i="24"/>
  <c r="D99" i="17" s="1"/>
  <c r="F99" i="17" s="1"/>
  <c r="G102" i="24"/>
  <c r="D103" i="24"/>
  <c r="C100" i="17" s="1"/>
  <c r="E100" i="17" s="1"/>
  <c r="E103" i="24"/>
  <c r="F103" i="24"/>
  <c r="G103" i="24"/>
  <c r="D104" i="24"/>
  <c r="E104" i="24"/>
  <c r="F104" i="24"/>
  <c r="D101" i="17" s="1"/>
  <c r="F101" i="17" s="1"/>
  <c r="G104" i="24"/>
  <c r="D105" i="24"/>
  <c r="C105" i="17" s="1"/>
  <c r="E105" i="17" s="1"/>
  <c r="E105" i="24"/>
  <c r="F105" i="24"/>
  <c r="D105" i="17" s="1"/>
  <c r="F105" i="17" s="1"/>
  <c r="G105" i="24"/>
  <c r="D106" i="24"/>
  <c r="C106" i="17" s="1"/>
  <c r="E106" i="17" s="1"/>
  <c r="E106" i="24"/>
  <c r="F106" i="24"/>
  <c r="G106" i="24"/>
  <c r="D107" i="24"/>
  <c r="C107" i="17" s="1"/>
  <c r="E107" i="17" s="1"/>
  <c r="E107" i="24"/>
  <c r="F107" i="24"/>
  <c r="D107" i="17" s="1"/>
  <c r="F107" i="17" s="1"/>
  <c r="G107" i="24"/>
  <c r="D108" i="24"/>
  <c r="E108" i="24"/>
  <c r="F108" i="24"/>
  <c r="G108" i="24"/>
  <c r="D109" i="24"/>
  <c r="E109" i="24"/>
  <c r="F109" i="24"/>
  <c r="D110" i="17" s="1"/>
  <c r="F110" i="17" s="1"/>
  <c r="G109" i="24"/>
  <c r="D110" i="24"/>
  <c r="C111" i="17" s="1"/>
  <c r="E111" i="17" s="1"/>
  <c r="E110" i="24"/>
  <c r="F110" i="24"/>
  <c r="D111" i="17" s="1"/>
  <c r="F111" i="17" s="1"/>
  <c r="G110" i="24"/>
  <c r="D111" i="24"/>
  <c r="E111" i="24"/>
  <c r="F111" i="24"/>
  <c r="D114" i="17" s="1"/>
  <c r="F114" i="17" s="1"/>
  <c r="G111" i="24"/>
  <c r="D112" i="24"/>
  <c r="C115" i="17" s="1"/>
  <c r="E115" i="17" s="1"/>
  <c r="E112" i="24"/>
  <c r="F112" i="24"/>
  <c r="D115" i="17" s="1"/>
  <c r="F115" i="17" s="1"/>
  <c r="G112" i="24"/>
  <c r="D113" i="24"/>
  <c r="E113" i="24"/>
  <c r="F113" i="24"/>
  <c r="G113" i="24"/>
  <c r="D114" i="24"/>
  <c r="E114" i="24"/>
  <c r="F114" i="24"/>
  <c r="G114" i="24"/>
  <c r="D115" i="24"/>
  <c r="E115" i="24"/>
  <c r="F115" i="24"/>
  <c r="D117" i="17" s="1"/>
  <c r="F117" i="17" s="1"/>
  <c r="G115" i="24"/>
  <c r="D116" i="24"/>
  <c r="E116" i="24"/>
  <c r="F116" i="24"/>
  <c r="G116" i="24"/>
  <c r="D117" i="24"/>
  <c r="C119" i="17" s="1"/>
  <c r="E119" i="17" s="1"/>
  <c r="E117" i="24"/>
  <c r="F117" i="24"/>
  <c r="D119" i="17" s="1"/>
  <c r="F119" i="17" s="1"/>
  <c r="G117" i="24"/>
  <c r="D118" i="24"/>
  <c r="C120" i="17" s="1"/>
  <c r="E120" i="17" s="1"/>
  <c r="E118" i="24"/>
  <c r="F118" i="24"/>
  <c r="D120" i="17" s="1"/>
  <c r="F120" i="17" s="1"/>
  <c r="G118" i="24"/>
  <c r="D119" i="24"/>
  <c r="E119" i="24"/>
  <c r="F119" i="24"/>
  <c r="G119" i="24"/>
  <c r="D120" i="24"/>
  <c r="E120" i="24"/>
  <c r="F120" i="24"/>
  <c r="G120" i="24"/>
  <c r="D121" i="24"/>
  <c r="E121" i="24"/>
  <c r="F121" i="24"/>
  <c r="G121" i="24"/>
  <c r="D122" i="24"/>
  <c r="E122" i="24"/>
  <c r="F122" i="24"/>
  <c r="G122" i="24"/>
  <c r="G9" i="24"/>
  <c r="F9" i="24"/>
  <c r="E9" i="24"/>
  <c r="D9" i="24"/>
  <c r="C13" i="22"/>
  <c r="D13" i="22"/>
  <c r="E13" i="22"/>
  <c r="F13" i="22"/>
  <c r="G13" i="22"/>
  <c r="C14" i="22"/>
  <c r="D14" i="22"/>
  <c r="E14" i="22"/>
  <c r="F14" i="22"/>
  <c r="G14" i="22"/>
  <c r="H14" i="22"/>
  <c r="I14" i="22"/>
  <c r="D118" i="17"/>
  <c r="F118" i="17" s="1"/>
  <c r="D35" i="17"/>
  <c r="F35" i="17" s="1"/>
  <c r="D38" i="17"/>
  <c r="F38" i="17" s="1"/>
  <c r="D47" i="17"/>
  <c r="F47" i="17" s="1"/>
  <c r="D50" i="17"/>
  <c r="F50" i="17" s="1"/>
  <c r="D55" i="17"/>
  <c r="F55" i="17" s="1"/>
  <c r="D57" i="17"/>
  <c r="F57" i="17" s="1"/>
  <c r="D58" i="17"/>
  <c r="F58" i="17" s="1"/>
  <c r="D65" i="17"/>
  <c r="F65" i="17" s="1"/>
  <c r="D67" i="17"/>
  <c r="F67" i="17" s="1"/>
  <c r="D70" i="17"/>
  <c r="F70" i="17" s="1"/>
  <c r="D72" i="17"/>
  <c r="F72" i="17" s="1"/>
  <c r="D73" i="17"/>
  <c r="F73" i="17" s="1"/>
  <c r="D75" i="17"/>
  <c r="F75" i="17" s="1"/>
  <c r="D77" i="17"/>
  <c r="F77" i="17" s="1"/>
  <c r="D78" i="17"/>
  <c r="F78" i="17" s="1"/>
  <c r="D92" i="17"/>
  <c r="F92" i="17" s="1"/>
  <c r="D95" i="17"/>
  <c r="F95" i="17" s="1"/>
  <c r="C36" i="17"/>
  <c r="E36" i="17" s="1"/>
  <c r="C40" i="17"/>
  <c r="E40" i="17" s="1"/>
  <c r="C41" i="17"/>
  <c r="E41" i="17" s="1"/>
  <c r="C42" i="17"/>
  <c r="E42" i="17" s="1"/>
  <c r="C43" i="17"/>
  <c r="E43" i="17" s="1"/>
  <c r="C49" i="17"/>
  <c r="E49" i="17" s="1"/>
  <c r="C50" i="17"/>
  <c r="E50" i="17" s="1"/>
  <c r="C54" i="17"/>
  <c r="E54" i="17" s="1"/>
  <c r="C59" i="17"/>
  <c r="E59" i="17" s="1"/>
  <c r="C60" i="17"/>
  <c r="E60" i="17" s="1"/>
  <c r="C61" i="17"/>
  <c r="E61" i="17" s="1"/>
  <c r="C62" i="17"/>
  <c r="E62" i="17" s="1"/>
  <c r="C63" i="17"/>
  <c r="E63" i="17" s="1"/>
  <c r="C64" i="17"/>
  <c r="E64" i="17" s="1"/>
  <c r="C70" i="17"/>
  <c r="E70" i="17" s="1"/>
  <c r="C71" i="17"/>
  <c r="E71" i="17" s="1"/>
  <c r="C75" i="17"/>
  <c r="E75" i="17" s="1"/>
  <c r="C78" i="17"/>
  <c r="E78" i="17" s="1"/>
  <c r="C79" i="17"/>
  <c r="E79" i="17" s="1"/>
  <c r="C81" i="17"/>
  <c r="E81" i="17" s="1"/>
  <c r="C96" i="17"/>
  <c r="E96" i="17" s="1"/>
  <c r="C101" i="17"/>
  <c r="E101" i="17" s="1"/>
  <c r="C34" i="17"/>
  <c r="E34" i="17" s="1"/>
  <c r="D32" i="17"/>
  <c r="F32" i="17" s="1"/>
  <c r="C32" i="17"/>
  <c r="E32" i="17" s="1"/>
  <c r="D23" i="17"/>
  <c r="F23" i="17" s="1"/>
  <c r="C23" i="17"/>
  <c r="E23" i="17" s="1"/>
  <c r="D13" i="17"/>
  <c r="F13" i="17" s="1"/>
  <c r="D15" i="17"/>
  <c r="F15" i="17" s="1"/>
  <c r="D17" i="17"/>
  <c r="F17" i="17" s="1"/>
  <c r="D18" i="17"/>
  <c r="F18" i="17" s="1"/>
  <c r="C15" i="17"/>
  <c r="E15" i="17" s="1"/>
  <c r="C17" i="17"/>
  <c r="E17" i="17" s="1"/>
  <c r="C18" i="17"/>
  <c r="E18" i="17" s="1"/>
  <c r="D7" i="17"/>
  <c r="F7" i="17" s="1"/>
  <c r="C8" i="17"/>
  <c r="E8" i="17" s="1"/>
  <c r="D8" i="17"/>
  <c r="F8" i="17" s="1"/>
  <c r="G111" i="17"/>
  <c r="AA115" i="17"/>
  <c r="Z115" i="17"/>
  <c r="Q116" i="17"/>
  <c r="AC32" i="17"/>
  <c r="AC28" i="17"/>
  <c r="Y28" i="17"/>
  <c r="Z28" i="17"/>
  <c r="AA28" i="17"/>
  <c r="AB28" i="17"/>
  <c r="Y29" i="17"/>
  <c r="Z29" i="17"/>
  <c r="AA29" i="17"/>
  <c r="AB29" i="17"/>
  <c r="AC29" i="17"/>
  <c r="Y30" i="17"/>
  <c r="Z30" i="17"/>
  <c r="AA30" i="17"/>
  <c r="AB30" i="17"/>
  <c r="AC30" i="17"/>
  <c r="Y31" i="17"/>
  <c r="Z31" i="17"/>
  <c r="AA31" i="17"/>
  <c r="AB31" i="17"/>
  <c r="AC31" i="17"/>
  <c r="Y32" i="17"/>
  <c r="Z32" i="17"/>
  <c r="AA32" i="17"/>
  <c r="AB32" i="17"/>
  <c r="Y33" i="17"/>
  <c r="Z33" i="17"/>
  <c r="AA33" i="17"/>
  <c r="AB33" i="17"/>
  <c r="AC33" i="17"/>
  <c r="Y15" i="17"/>
  <c r="Z15" i="17"/>
  <c r="AA15" i="17"/>
  <c r="AB15" i="17"/>
  <c r="AC15" i="17"/>
  <c r="E27" i="17"/>
  <c r="G34" i="17"/>
  <c r="C16" i="17"/>
  <c r="E16" i="17" s="1"/>
  <c r="Q121" i="17"/>
  <c r="Q109" i="17"/>
  <c r="C35" i="20"/>
  <c r="E35" i="20"/>
  <c r="C34" i="20"/>
  <c r="E34" i="20"/>
  <c r="F33" i="17"/>
  <c r="E33" i="17"/>
  <c r="F31" i="17"/>
  <c r="E31" i="17"/>
  <c r="F29" i="17"/>
  <c r="E29" i="17"/>
  <c r="F27" i="17"/>
  <c r="C28" i="17"/>
  <c r="E28" i="17" s="1"/>
  <c r="D28" i="17"/>
  <c r="F28" i="17" s="1"/>
  <c r="C30" i="17"/>
  <c r="E30" i="17" s="1"/>
  <c r="D30" i="17"/>
  <c r="F30" i="17" s="1"/>
  <c r="C14" i="17"/>
  <c r="E14" i="17" s="1"/>
  <c r="H5" i="22"/>
  <c r="I5" i="22"/>
  <c r="K5" i="22"/>
  <c r="L5" i="22"/>
  <c r="M5" i="22"/>
  <c r="N5" i="22"/>
  <c r="H6" i="22"/>
  <c r="J6" i="22"/>
  <c r="K6" i="22"/>
  <c r="H7" i="22"/>
  <c r="I7" i="22"/>
  <c r="J7" i="22"/>
  <c r="L7" i="22"/>
  <c r="N7" i="22"/>
  <c r="H8" i="22"/>
  <c r="I8" i="22"/>
  <c r="J8" i="22"/>
  <c r="K8" i="22"/>
  <c r="L8" i="22"/>
  <c r="M8" i="22"/>
  <c r="N8" i="22"/>
  <c r="H9" i="22"/>
  <c r="I9" i="22"/>
  <c r="J9" i="22"/>
  <c r="K9" i="22"/>
  <c r="L9" i="22"/>
  <c r="M9" i="22"/>
  <c r="N9" i="22"/>
  <c r="H10" i="22"/>
  <c r="I10" i="22"/>
  <c r="J10" i="22"/>
  <c r="K10" i="22"/>
  <c r="L10" i="22"/>
  <c r="M10" i="22"/>
  <c r="N10" i="22"/>
  <c r="H11" i="22"/>
  <c r="I11" i="22"/>
  <c r="J11" i="22"/>
  <c r="K11" i="22"/>
  <c r="L11" i="22"/>
  <c r="M11" i="22"/>
  <c r="N11" i="22"/>
  <c r="H13" i="22"/>
  <c r="I13" i="22"/>
  <c r="J13" i="22"/>
  <c r="K13" i="22"/>
  <c r="L13" i="22"/>
  <c r="M13" i="22"/>
  <c r="N13" i="22"/>
  <c r="J14" i="22"/>
  <c r="K14" i="22"/>
  <c r="L14" i="22"/>
  <c r="M14" i="22"/>
  <c r="N14" i="22"/>
  <c r="C10" i="22"/>
  <c r="L35" i="18"/>
  <c r="C127" i="20"/>
  <c r="E127" i="20"/>
  <c r="C128" i="20"/>
  <c r="E128" i="20"/>
  <c r="C129" i="20"/>
  <c r="E129" i="20"/>
  <c r="C130" i="20"/>
  <c r="E130" i="20"/>
  <c r="C131" i="20"/>
  <c r="E131" i="20"/>
  <c r="B18" i="18"/>
  <c r="AL7" i="17"/>
  <c r="AL8" i="17"/>
  <c r="AL9" i="17"/>
  <c r="AL10" i="17"/>
  <c r="AL11" i="17"/>
  <c r="AL12" i="17"/>
  <c r="AL13" i="17"/>
  <c r="AL14" i="17"/>
  <c r="AL16" i="17"/>
  <c r="AL17" i="17"/>
  <c r="AL18" i="17"/>
  <c r="AL19" i="17"/>
  <c r="AL20" i="17"/>
  <c r="AL21" i="17"/>
  <c r="AL22" i="17"/>
  <c r="AL23" i="17"/>
  <c r="AL24" i="17"/>
  <c r="AL25" i="17"/>
  <c r="AL26" i="17"/>
  <c r="AL27" i="17"/>
  <c r="AL30" i="17"/>
  <c r="AL31" i="17"/>
  <c r="AL34" i="17"/>
  <c r="AL35" i="17"/>
  <c r="AL36" i="17"/>
  <c r="AL37" i="17"/>
  <c r="AL38" i="17"/>
  <c r="AL39" i="17"/>
  <c r="AL40" i="17"/>
  <c r="AL41" i="17"/>
  <c r="AL42" i="17"/>
  <c r="AL43" i="17"/>
  <c r="AL44" i="17"/>
  <c r="AL45" i="17"/>
  <c r="AL46" i="17"/>
  <c r="AL47" i="17"/>
  <c r="AL48" i="17"/>
  <c r="AL49" i="17"/>
  <c r="AL50" i="17"/>
  <c r="AL51" i="17"/>
  <c r="AL52" i="17"/>
  <c r="AL53" i="17"/>
  <c r="AL54" i="17"/>
  <c r="AL55" i="17"/>
  <c r="AL56" i="17"/>
  <c r="AL57" i="17"/>
  <c r="AL58" i="17"/>
  <c r="AL59" i="17"/>
  <c r="AL60" i="17"/>
  <c r="AL61" i="17"/>
  <c r="AL62" i="17"/>
  <c r="AL63" i="17"/>
  <c r="AL64" i="17"/>
  <c r="AL65" i="17"/>
  <c r="AL66" i="17"/>
  <c r="AL67" i="17"/>
  <c r="AL68" i="17"/>
  <c r="AL69" i="17"/>
  <c r="AL70" i="17"/>
  <c r="AL71" i="17"/>
  <c r="AL72" i="17"/>
  <c r="AL73" i="17"/>
  <c r="AL74" i="17"/>
  <c r="AL75" i="17"/>
  <c r="AL76" i="17"/>
  <c r="AL77" i="17"/>
  <c r="AL78" i="17"/>
  <c r="AL79" i="17"/>
  <c r="AL80" i="17"/>
  <c r="AL81" i="17"/>
  <c r="AL82" i="17"/>
  <c r="AL83" i="17"/>
  <c r="AL84" i="17"/>
  <c r="AL85" i="17"/>
  <c r="AL86" i="17"/>
  <c r="AL87" i="17"/>
  <c r="AL88" i="17"/>
  <c r="AL89" i="17"/>
  <c r="AL90" i="17"/>
  <c r="AL91" i="17"/>
  <c r="AL92" i="17"/>
  <c r="AL93" i="17"/>
  <c r="AL94" i="17"/>
  <c r="AL95" i="17"/>
  <c r="AL96" i="17"/>
  <c r="AL97" i="17"/>
  <c r="AL98" i="17"/>
  <c r="AL99" i="17"/>
  <c r="AL100" i="17"/>
  <c r="AL101" i="17"/>
  <c r="AL102" i="17"/>
  <c r="AL103" i="17"/>
  <c r="AL104" i="17"/>
  <c r="AL105" i="17"/>
  <c r="AL106" i="17"/>
  <c r="AL107" i="17"/>
  <c r="AL108" i="17"/>
  <c r="AL109" i="17"/>
  <c r="AL110" i="17"/>
  <c r="AL111" i="17"/>
  <c r="AL112" i="17"/>
  <c r="AL113" i="17"/>
  <c r="AL114" i="17"/>
  <c r="AL115" i="17"/>
  <c r="AL116" i="17"/>
  <c r="AL117" i="17"/>
  <c r="AL118" i="17"/>
  <c r="AL119" i="17"/>
  <c r="AL120" i="17"/>
  <c r="AL6" i="17"/>
  <c r="C9" i="17"/>
  <c r="E9" i="17" s="1"/>
  <c r="C26" i="17"/>
  <c r="E26" i="17" s="1"/>
  <c r="C38" i="17"/>
  <c r="E38" i="17" s="1"/>
  <c r="D43" i="17"/>
  <c r="F43" i="17" s="1"/>
  <c r="D82" i="17"/>
  <c r="F82" i="17" s="1"/>
  <c r="D85" i="17"/>
  <c r="F85" i="17" s="1"/>
  <c r="D87" i="17"/>
  <c r="F87" i="17" s="1"/>
  <c r="D6" i="17"/>
  <c r="F6" i="17" s="1"/>
  <c r="D11" i="22"/>
  <c r="E11" i="22"/>
  <c r="F11" i="22"/>
  <c r="G11" i="22"/>
  <c r="C11" i="22"/>
  <c r="D7" i="22"/>
  <c r="E7" i="22"/>
  <c r="D8" i="22"/>
  <c r="F8" i="22"/>
  <c r="G8" i="22"/>
  <c r="D9" i="22"/>
  <c r="G9" i="22"/>
  <c r="F10" i="22"/>
  <c r="G10" i="22"/>
  <c r="C9" i="22"/>
  <c r="C6" i="22"/>
  <c r="C5" i="22"/>
  <c r="D6" i="22"/>
  <c r="E6" i="22"/>
  <c r="F6" i="22"/>
  <c r="G6" i="22"/>
  <c r="D5" i="22"/>
  <c r="E5" i="22"/>
  <c r="F5" i="22"/>
  <c r="G5" i="22"/>
  <c r="C35" i="17"/>
  <c r="E35" i="17" s="1"/>
  <c r="D42" i="17"/>
  <c r="F42" i="17" s="1"/>
  <c r="D45" i="17"/>
  <c r="F45" i="17" s="1"/>
  <c r="C46" i="17"/>
  <c r="E46" i="17" s="1"/>
  <c r="C47" i="17"/>
  <c r="E47" i="17" s="1"/>
  <c r="C48" i="17"/>
  <c r="E48" i="17" s="1"/>
  <c r="D48" i="17"/>
  <c r="F48" i="17" s="1"/>
  <c r="C51" i="17"/>
  <c r="E51" i="17" s="1"/>
  <c r="C52" i="17"/>
  <c r="E52" i="17" s="1"/>
  <c r="D53" i="17"/>
  <c r="F53" i="17" s="1"/>
  <c r="D60" i="17"/>
  <c r="F60" i="17" s="1"/>
  <c r="D63" i="17"/>
  <c r="F63" i="17" s="1"/>
  <c r="C66" i="17"/>
  <c r="E66" i="17" s="1"/>
  <c r="C67" i="17"/>
  <c r="E67" i="17" s="1"/>
  <c r="C68" i="17"/>
  <c r="E68" i="17" s="1"/>
  <c r="C72" i="17"/>
  <c r="E72" i="17" s="1"/>
  <c r="C76" i="17"/>
  <c r="E76" i="17" s="1"/>
  <c r="D83" i="17"/>
  <c r="F83" i="17" s="1"/>
  <c r="C84" i="17"/>
  <c r="E84" i="17" s="1"/>
  <c r="C88" i="17"/>
  <c r="E88" i="17" s="1"/>
  <c r="C89" i="17"/>
  <c r="E89" i="17" s="1"/>
  <c r="C90" i="17"/>
  <c r="E90" i="17" s="1"/>
  <c r="D90" i="17"/>
  <c r="F90" i="17" s="1"/>
  <c r="C92" i="17"/>
  <c r="E92" i="17" s="1"/>
  <c r="C93" i="17"/>
  <c r="E93" i="17" s="1"/>
  <c r="D100" i="17"/>
  <c r="F100" i="17" s="1"/>
  <c r="D108" i="17"/>
  <c r="F108" i="17" s="1"/>
  <c r="C112" i="17"/>
  <c r="E112" i="17" s="1"/>
  <c r="C39" i="17"/>
  <c r="E39" i="17" s="1"/>
  <c r="C45" i="17"/>
  <c r="E45" i="17" s="1"/>
  <c r="C94" i="17"/>
  <c r="E94" i="17" s="1"/>
  <c r="C19" i="17"/>
  <c r="E19" i="17" s="1"/>
  <c r="C22" i="17"/>
  <c r="E22" i="17" s="1"/>
  <c r="D22" i="17"/>
  <c r="F22" i="17" s="1"/>
  <c r="C7" i="17"/>
  <c r="E7" i="17" s="1"/>
  <c r="C10" i="17"/>
  <c r="E10" i="17" s="1"/>
  <c r="D10" i="17"/>
  <c r="F10" i="17" s="1"/>
  <c r="C11" i="17"/>
  <c r="E11" i="17" s="1"/>
  <c r="C12" i="17"/>
  <c r="E12" i="17" s="1"/>
  <c r="D12" i="17"/>
  <c r="F12" i="17" s="1"/>
  <c r="C13" i="17"/>
  <c r="E13" i="17" s="1"/>
  <c r="C6" i="17"/>
  <c r="E6" i="17" s="1"/>
  <c r="Y6" i="17"/>
  <c r="Z6" i="17"/>
  <c r="AA6" i="17"/>
  <c r="AB6" i="17"/>
  <c r="AC6" i="17"/>
  <c r="Y7" i="17"/>
  <c r="Z7" i="17"/>
  <c r="AA7" i="17"/>
  <c r="AB7" i="17"/>
  <c r="AC7" i="17"/>
  <c r="Y8" i="17"/>
  <c r="Z8" i="17"/>
  <c r="AA8" i="17"/>
  <c r="AB8" i="17"/>
  <c r="AC8" i="17"/>
  <c r="Y9" i="17"/>
  <c r="Z9" i="17"/>
  <c r="AA9" i="17"/>
  <c r="AB9" i="17"/>
  <c r="AC9" i="17"/>
  <c r="Y10" i="17"/>
  <c r="Z10" i="17"/>
  <c r="AA10" i="17"/>
  <c r="AB10" i="17"/>
  <c r="AC10" i="17"/>
  <c r="Y11" i="17"/>
  <c r="Z11" i="17"/>
  <c r="AA11" i="17"/>
  <c r="AB11" i="17"/>
  <c r="AC11" i="17"/>
  <c r="Y12" i="17"/>
  <c r="Z12" i="17"/>
  <c r="AA12" i="17"/>
  <c r="AB12" i="17"/>
  <c r="AC12" i="17"/>
  <c r="Y13" i="17"/>
  <c r="Z13" i="17"/>
  <c r="AA13" i="17"/>
  <c r="AB13" i="17"/>
  <c r="AC13" i="17"/>
  <c r="Y14" i="17"/>
  <c r="Z14" i="17"/>
  <c r="AA14" i="17"/>
  <c r="AB14" i="17"/>
  <c r="AC14" i="17"/>
  <c r="Y16" i="17"/>
  <c r="Z16" i="17"/>
  <c r="AA16" i="17"/>
  <c r="AB16" i="17"/>
  <c r="AC16" i="17"/>
  <c r="Y17" i="17"/>
  <c r="Z17" i="17"/>
  <c r="AA17" i="17"/>
  <c r="AB17" i="17"/>
  <c r="AC17" i="17"/>
  <c r="Y18" i="17"/>
  <c r="Z18" i="17"/>
  <c r="AA18" i="17"/>
  <c r="AB18" i="17"/>
  <c r="AC18" i="17"/>
  <c r="Y19" i="17"/>
  <c r="Z19" i="17"/>
  <c r="AA19" i="17"/>
  <c r="AB19" i="17"/>
  <c r="AC19" i="17"/>
  <c r="E20" i="17"/>
  <c r="F20" i="17"/>
  <c r="Y20" i="17"/>
  <c r="Z20" i="17"/>
  <c r="AA20" i="17"/>
  <c r="AB20" i="17"/>
  <c r="AC20" i="17"/>
  <c r="E21" i="17"/>
  <c r="F21" i="17"/>
  <c r="Y21" i="17"/>
  <c r="Z21" i="17"/>
  <c r="AA21" i="17"/>
  <c r="AB21" i="17"/>
  <c r="AC21" i="17"/>
  <c r="Y22" i="17"/>
  <c r="Z22" i="17"/>
  <c r="AA22" i="17"/>
  <c r="AB22" i="17"/>
  <c r="AC22" i="17"/>
  <c r="Y23" i="17"/>
  <c r="Z23" i="17"/>
  <c r="AA23" i="17"/>
  <c r="AB23" i="17"/>
  <c r="AC23" i="17"/>
  <c r="C24" i="17"/>
  <c r="E24" i="17" s="1"/>
  <c r="Y24" i="17"/>
  <c r="Z24" i="17"/>
  <c r="AA24" i="17"/>
  <c r="AB24" i="17"/>
  <c r="AC24" i="17"/>
  <c r="E25" i="17"/>
  <c r="F25" i="17"/>
  <c r="Y25" i="17"/>
  <c r="Z25" i="17"/>
  <c r="AA25" i="17"/>
  <c r="AB25" i="17"/>
  <c r="AC25" i="17"/>
  <c r="Y26" i="17"/>
  <c r="Z26" i="17"/>
  <c r="AA26" i="17"/>
  <c r="AB26" i="17"/>
  <c r="AC26" i="17"/>
  <c r="Y27" i="17"/>
  <c r="Z27" i="17"/>
  <c r="AA27" i="17"/>
  <c r="AB27" i="17"/>
  <c r="AC27" i="17"/>
  <c r="H34" i="17"/>
  <c r="Y34" i="17"/>
  <c r="Z34" i="17"/>
  <c r="AA34" i="17"/>
  <c r="AB34" i="17"/>
  <c r="AC34" i="17"/>
  <c r="G35" i="17"/>
  <c r="H35" i="17"/>
  <c r="Y35" i="17"/>
  <c r="Z35" i="17"/>
  <c r="AA35" i="17"/>
  <c r="AB35" i="17"/>
  <c r="AC35" i="17"/>
  <c r="G36" i="17"/>
  <c r="H36" i="17"/>
  <c r="Y36" i="17"/>
  <c r="Z36" i="17"/>
  <c r="AA36" i="17"/>
  <c r="AB36" i="17"/>
  <c r="AC36" i="17"/>
  <c r="G37" i="17"/>
  <c r="H37" i="17"/>
  <c r="Y37" i="17"/>
  <c r="Z37" i="17"/>
  <c r="AA37" i="17"/>
  <c r="AB37" i="17"/>
  <c r="AC37" i="17"/>
  <c r="G38" i="17"/>
  <c r="H38" i="17"/>
  <c r="Y38" i="17"/>
  <c r="Z38" i="17"/>
  <c r="AA38" i="17"/>
  <c r="AB38" i="17"/>
  <c r="AC38" i="17"/>
  <c r="G39" i="17"/>
  <c r="H39" i="17"/>
  <c r="Y39" i="17"/>
  <c r="Z39" i="17"/>
  <c r="AA39" i="17"/>
  <c r="AB39" i="17"/>
  <c r="AC39" i="17"/>
  <c r="D40" i="17"/>
  <c r="F40" i="17" s="1"/>
  <c r="G40" i="17"/>
  <c r="H40" i="17"/>
  <c r="Y40" i="17"/>
  <c r="Z40" i="17"/>
  <c r="AA40" i="17"/>
  <c r="AB40" i="17"/>
  <c r="AC40" i="17"/>
  <c r="G41" i="17"/>
  <c r="H41" i="17"/>
  <c r="Y41" i="17"/>
  <c r="Z41" i="17"/>
  <c r="AA41" i="17"/>
  <c r="AB41" i="17"/>
  <c r="AC41" i="17"/>
  <c r="G42" i="17"/>
  <c r="H42" i="17"/>
  <c r="Y42" i="17"/>
  <c r="Z42" i="17"/>
  <c r="AA42" i="17"/>
  <c r="AB42" i="17"/>
  <c r="AC42" i="17"/>
  <c r="G43" i="17"/>
  <c r="H43" i="17"/>
  <c r="Y43" i="17"/>
  <c r="Z43" i="17"/>
  <c r="AA43" i="17"/>
  <c r="AB43" i="17"/>
  <c r="AC43" i="17"/>
  <c r="G44" i="17"/>
  <c r="I44" i="17" s="1"/>
  <c r="K44" i="17" s="1"/>
  <c r="M44" i="17" s="1"/>
  <c r="H44" i="17"/>
  <c r="Y44" i="17"/>
  <c r="Z44" i="17"/>
  <c r="AA44" i="17"/>
  <c r="AB44" i="17"/>
  <c r="AC44" i="17"/>
  <c r="G45" i="17"/>
  <c r="H45" i="17"/>
  <c r="Y45" i="17"/>
  <c r="Z45" i="17"/>
  <c r="AA45" i="17"/>
  <c r="AB45" i="17"/>
  <c r="AC45" i="17"/>
  <c r="G46" i="17"/>
  <c r="H46" i="17"/>
  <c r="Y46" i="17"/>
  <c r="Z46" i="17"/>
  <c r="AA46" i="17"/>
  <c r="AB46" i="17"/>
  <c r="AC46" i="17"/>
  <c r="G47" i="17"/>
  <c r="H47" i="17"/>
  <c r="Y47" i="17"/>
  <c r="Z47" i="17"/>
  <c r="AA47" i="17"/>
  <c r="AB47" i="17"/>
  <c r="AC47" i="17"/>
  <c r="G48" i="17"/>
  <c r="H48" i="17"/>
  <c r="Y48" i="17"/>
  <c r="Z48" i="17"/>
  <c r="AA48" i="17"/>
  <c r="AB48" i="17"/>
  <c r="AC48" i="17"/>
  <c r="G49" i="17"/>
  <c r="H49" i="17"/>
  <c r="Y49" i="17"/>
  <c r="Z49" i="17"/>
  <c r="AA49" i="17"/>
  <c r="AB49" i="17"/>
  <c r="AC49" i="17"/>
  <c r="G50" i="17"/>
  <c r="H50" i="17"/>
  <c r="J50" i="17" s="1"/>
  <c r="L50" i="17" s="1"/>
  <c r="N50" i="17" s="1"/>
  <c r="Y50" i="17"/>
  <c r="Z50" i="17"/>
  <c r="AA50" i="17"/>
  <c r="AB50" i="17"/>
  <c r="AC50" i="17"/>
  <c r="G51" i="17"/>
  <c r="H51" i="17"/>
  <c r="Y51" i="17"/>
  <c r="Z51" i="17"/>
  <c r="AA51" i="17"/>
  <c r="AB51" i="17"/>
  <c r="AC51" i="17"/>
  <c r="D52" i="17"/>
  <c r="F52" i="17" s="1"/>
  <c r="G52" i="17"/>
  <c r="H52" i="17"/>
  <c r="Y52" i="17"/>
  <c r="Z52" i="17"/>
  <c r="AA52" i="17"/>
  <c r="AB52" i="17"/>
  <c r="AC52" i="17"/>
  <c r="C53" i="17"/>
  <c r="E53" i="17" s="1"/>
  <c r="G53" i="17"/>
  <c r="H53" i="17"/>
  <c r="Y53" i="17"/>
  <c r="Z53" i="17"/>
  <c r="AA53" i="17"/>
  <c r="AB53" i="17"/>
  <c r="AC53" i="17"/>
  <c r="G54" i="17"/>
  <c r="H54" i="17"/>
  <c r="Y54" i="17"/>
  <c r="Z54" i="17"/>
  <c r="AA54" i="17"/>
  <c r="AB54" i="17"/>
  <c r="AC54" i="17"/>
  <c r="C55" i="17"/>
  <c r="E55" i="17" s="1"/>
  <c r="G55" i="17"/>
  <c r="H55" i="17"/>
  <c r="Y55" i="17"/>
  <c r="Z55" i="17"/>
  <c r="AA55" i="17"/>
  <c r="AB55" i="17"/>
  <c r="AC55" i="17"/>
  <c r="C56" i="17"/>
  <c r="E56" i="17" s="1"/>
  <c r="G56" i="17"/>
  <c r="H56" i="17"/>
  <c r="Y56" i="17"/>
  <c r="Z56" i="17"/>
  <c r="AA56" i="17"/>
  <c r="AB56" i="17"/>
  <c r="AC56" i="17"/>
  <c r="G57" i="17"/>
  <c r="H57" i="17"/>
  <c r="Y57" i="17"/>
  <c r="Z57" i="17"/>
  <c r="AA57" i="17"/>
  <c r="AB57" i="17"/>
  <c r="AC57" i="17"/>
  <c r="G58" i="17"/>
  <c r="H58" i="17"/>
  <c r="Y58" i="17"/>
  <c r="Z58" i="17"/>
  <c r="AA58" i="17"/>
  <c r="AB58" i="17"/>
  <c r="AC58" i="17"/>
  <c r="G59" i="17"/>
  <c r="H59" i="17"/>
  <c r="Y59" i="17"/>
  <c r="Z59" i="17"/>
  <c r="AA59" i="17"/>
  <c r="AB59" i="17"/>
  <c r="AC59" i="17"/>
  <c r="G60" i="17"/>
  <c r="I60" i="17" s="1"/>
  <c r="K60" i="17" s="1"/>
  <c r="M60" i="17" s="1"/>
  <c r="H60" i="17"/>
  <c r="Y60" i="17"/>
  <c r="Z60" i="17"/>
  <c r="AA60" i="17"/>
  <c r="AB60" i="17"/>
  <c r="AC60" i="17"/>
  <c r="G61" i="17"/>
  <c r="H61" i="17"/>
  <c r="Y61" i="17"/>
  <c r="Z61" i="17"/>
  <c r="AA61" i="17"/>
  <c r="AB61" i="17"/>
  <c r="AC61" i="17"/>
  <c r="D62" i="17"/>
  <c r="F62" i="17" s="1"/>
  <c r="G62" i="17"/>
  <c r="H62" i="17"/>
  <c r="Y62" i="17"/>
  <c r="Z62" i="17"/>
  <c r="AA62" i="17"/>
  <c r="AB62" i="17"/>
  <c r="AC62" i="17"/>
  <c r="G63" i="17"/>
  <c r="H63" i="17"/>
  <c r="Y63" i="17"/>
  <c r="Z63" i="17"/>
  <c r="AA63" i="17"/>
  <c r="AB63" i="17"/>
  <c r="AC63" i="17"/>
  <c r="G64" i="17"/>
  <c r="H64" i="17"/>
  <c r="Y64" i="17"/>
  <c r="Z64" i="17"/>
  <c r="AA64" i="17"/>
  <c r="AB64" i="17"/>
  <c r="AC64" i="17"/>
  <c r="C65" i="17"/>
  <c r="E65" i="17" s="1"/>
  <c r="G65" i="17"/>
  <c r="H65" i="17"/>
  <c r="Y65" i="17"/>
  <c r="Z65" i="17"/>
  <c r="AA65" i="17"/>
  <c r="AB65" i="17"/>
  <c r="AC65" i="17"/>
  <c r="G66" i="17"/>
  <c r="H66" i="17"/>
  <c r="Y66" i="17"/>
  <c r="Z66" i="17"/>
  <c r="AA66" i="17"/>
  <c r="AB66" i="17"/>
  <c r="AC66" i="17"/>
  <c r="G67" i="17"/>
  <c r="H67" i="17"/>
  <c r="Y67" i="17"/>
  <c r="Z67" i="17"/>
  <c r="AA67" i="17"/>
  <c r="AB67" i="17"/>
  <c r="AC67" i="17"/>
  <c r="D68" i="17"/>
  <c r="F68" i="17" s="1"/>
  <c r="G68" i="17"/>
  <c r="H68" i="17"/>
  <c r="Y68" i="17"/>
  <c r="Z68" i="17"/>
  <c r="AA68" i="17"/>
  <c r="AB68" i="17"/>
  <c r="AC68" i="17"/>
  <c r="C69" i="17"/>
  <c r="E69" i="17" s="1"/>
  <c r="G69" i="17"/>
  <c r="H69" i="17"/>
  <c r="Y69" i="17"/>
  <c r="Z69" i="17"/>
  <c r="AA69" i="17"/>
  <c r="AB69" i="17"/>
  <c r="AC69" i="17"/>
  <c r="G70" i="17"/>
  <c r="H70" i="17"/>
  <c r="Y70" i="17"/>
  <c r="Z70" i="17"/>
  <c r="AA70" i="17"/>
  <c r="AB70" i="17"/>
  <c r="AC70" i="17"/>
  <c r="G71" i="17"/>
  <c r="H71" i="17"/>
  <c r="Y71" i="17"/>
  <c r="Z71" i="17"/>
  <c r="AA71" i="17"/>
  <c r="AB71" i="17"/>
  <c r="AC71" i="17"/>
  <c r="G72" i="17"/>
  <c r="H72" i="17"/>
  <c r="Y72" i="17"/>
  <c r="Z72" i="17"/>
  <c r="AA72" i="17"/>
  <c r="AB72" i="17"/>
  <c r="AC72" i="17"/>
  <c r="C73" i="17"/>
  <c r="E73" i="17" s="1"/>
  <c r="G73" i="17"/>
  <c r="H73" i="17"/>
  <c r="Y73" i="17"/>
  <c r="Z73" i="17"/>
  <c r="AA73" i="17"/>
  <c r="AB73" i="17"/>
  <c r="AC73" i="17"/>
  <c r="G74" i="17"/>
  <c r="H74" i="17"/>
  <c r="Y74" i="17"/>
  <c r="Z74" i="17"/>
  <c r="AA74" i="17"/>
  <c r="AB74" i="17"/>
  <c r="AC74" i="17"/>
  <c r="G75" i="17"/>
  <c r="H75" i="17"/>
  <c r="Y75" i="17"/>
  <c r="Z75" i="17"/>
  <c r="AA75" i="17"/>
  <c r="AB75" i="17"/>
  <c r="AC75" i="17"/>
  <c r="G76" i="17"/>
  <c r="H76" i="17"/>
  <c r="Y76" i="17"/>
  <c r="Z76" i="17"/>
  <c r="AA76" i="17"/>
  <c r="AB76" i="17"/>
  <c r="AC76" i="17"/>
  <c r="C77" i="17"/>
  <c r="E77" i="17" s="1"/>
  <c r="G77" i="17"/>
  <c r="H77" i="17"/>
  <c r="Y77" i="17"/>
  <c r="Z77" i="17"/>
  <c r="AA77" i="17"/>
  <c r="AB77" i="17"/>
  <c r="AC77" i="17"/>
  <c r="G78" i="17"/>
  <c r="H78" i="17"/>
  <c r="Y78" i="17"/>
  <c r="Z78" i="17"/>
  <c r="AA78" i="17"/>
  <c r="AB78" i="17"/>
  <c r="AC78" i="17"/>
  <c r="G79" i="17"/>
  <c r="H79" i="17"/>
  <c r="Y79" i="17"/>
  <c r="Z79" i="17"/>
  <c r="AA79" i="17"/>
  <c r="AB79" i="17"/>
  <c r="AC79" i="17"/>
  <c r="C80" i="17"/>
  <c r="E80" i="17" s="1"/>
  <c r="D80" i="17"/>
  <c r="F80" i="17" s="1"/>
  <c r="G80" i="17"/>
  <c r="H80" i="17"/>
  <c r="Y80" i="17"/>
  <c r="Z80" i="17"/>
  <c r="AA80" i="17"/>
  <c r="AB80" i="17"/>
  <c r="AC80" i="17"/>
  <c r="G81" i="17"/>
  <c r="H81" i="17"/>
  <c r="Y81" i="17"/>
  <c r="Z81" i="17"/>
  <c r="AA81" i="17"/>
  <c r="AB81" i="17"/>
  <c r="AC81" i="17"/>
  <c r="G82" i="17"/>
  <c r="H82" i="17"/>
  <c r="Y82" i="17"/>
  <c r="Z82" i="17"/>
  <c r="AA82" i="17"/>
  <c r="AB82" i="17"/>
  <c r="AC82" i="17"/>
  <c r="G83" i="17"/>
  <c r="H83" i="17"/>
  <c r="Y83" i="17"/>
  <c r="Z83" i="17"/>
  <c r="AA83" i="17"/>
  <c r="AB83" i="17"/>
  <c r="AC83" i="17"/>
  <c r="G84" i="17"/>
  <c r="H84" i="17"/>
  <c r="Y84" i="17"/>
  <c r="Z84" i="17"/>
  <c r="AA84" i="17"/>
  <c r="AB84" i="17"/>
  <c r="AC84" i="17"/>
  <c r="C85" i="17"/>
  <c r="E85" i="17" s="1"/>
  <c r="G85" i="17"/>
  <c r="H85" i="17"/>
  <c r="Y85" i="17"/>
  <c r="Z85" i="17"/>
  <c r="AA85" i="17"/>
  <c r="AB85" i="17"/>
  <c r="AC85" i="17"/>
  <c r="C86" i="17"/>
  <c r="E86" i="17" s="1"/>
  <c r="G86" i="17"/>
  <c r="H86" i="17"/>
  <c r="Y86" i="17"/>
  <c r="Z86" i="17"/>
  <c r="AA86" i="17"/>
  <c r="AB86" i="17"/>
  <c r="AC86" i="17"/>
  <c r="C87" i="17"/>
  <c r="E87" i="17" s="1"/>
  <c r="G87" i="17"/>
  <c r="H87" i="17"/>
  <c r="Y87" i="17"/>
  <c r="Z87" i="17"/>
  <c r="AA87" i="17"/>
  <c r="AB87" i="17"/>
  <c r="AC87" i="17"/>
  <c r="G88" i="17"/>
  <c r="H88" i="17"/>
  <c r="Y88" i="17"/>
  <c r="Z88" i="17"/>
  <c r="AA88" i="17"/>
  <c r="AB88" i="17"/>
  <c r="AC88" i="17"/>
  <c r="G89" i="17"/>
  <c r="H89" i="17"/>
  <c r="Y89" i="17"/>
  <c r="Z89" i="17"/>
  <c r="AA89" i="17"/>
  <c r="AB89" i="17"/>
  <c r="AC89" i="17"/>
  <c r="G90" i="17"/>
  <c r="H90" i="17"/>
  <c r="Y90" i="17"/>
  <c r="Z90" i="17"/>
  <c r="AA90" i="17"/>
  <c r="AB90" i="17"/>
  <c r="AC90" i="17"/>
  <c r="C91" i="17"/>
  <c r="E91" i="17" s="1"/>
  <c r="G91" i="17"/>
  <c r="H91" i="17"/>
  <c r="Y91" i="17"/>
  <c r="Z91" i="17"/>
  <c r="AA91" i="17"/>
  <c r="AB91" i="17"/>
  <c r="AC91" i="17"/>
  <c r="G92" i="17"/>
  <c r="H92" i="17"/>
  <c r="Y92" i="17"/>
  <c r="Z92" i="17"/>
  <c r="AA92" i="17"/>
  <c r="AB92" i="17"/>
  <c r="AC92" i="17"/>
  <c r="G93" i="17"/>
  <c r="H93" i="17"/>
  <c r="Y93" i="17"/>
  <c r="Z93" i="17"/>
  <c r="AA93" i="17"/>
  <c r="AB93" i="17"/>
  <c r="AC93" i="17"/>
  <c r="G94" i="17"/>
  <c r="H94" i="17"/>
  <c r="Y94" i="17"/>
  <c r="Z94" i="17"/>
  <c r="AA94" i="17"/>
  <c r="AB94" i="17"/>
  <c r="AC94" i="17"/>
  <c r="G95" i="17"/>
  <c r="I95" i="17" s="1"/>
  <c r="K95" i="17" s="1"/>
  <c r="M95" i="17" s="1"/>
  <c r="H95" i="17"/>
  <c r="Y95" i="17"/>
  <c r="Z95" i="17"/>
  <c r="AA95" i="17"/>
  <c r="AB95" i="17"/>
  <c r="AC95" i="17"/>
  <c r="G96" i="17"/>
  <c r="H96" i="17"/>
  <c r="Y96" i="17"/>
  <c r="Z96" i="17"/>
  <c r="AA96" i="17"/>
  <c r="AB96" i="17"/>
  <c r="AC96" i="17"/>
  <c r="G97" i="17"/>
  <c r="H97" i="17"/>
  <c r="Y97" i="17"/>
  <c r="Z97" i="17"/>
  <c r="AA97" i="17"/>
  <c r="AB97" i="17"/>
  <c r="AC97" i="17"/>
  <c r="G98" i="17"/>
  <c r="H98" i="17"/>
  <c r="Y98" i="17"/>
  <c r="Z98" i="17"/>
  <c r="AA98" i="17"/>
  <c r="AB98" i="17"/>
  <c r="AC98" i="17"/>
  <c r="G99" i="17"/>
  <c r="H99" i="17"/>
  <c r="Y99" i="17"/>
  <c r="Z99" i="17"/>
  <c r="AA99" i="17"/>
  <c r="AB99" i="17"/>
  <c r="AC99" i="17"/>
  <c r="G100" i="17"/>
  <c r="H100" i="17"/>
  <c r="Y100" i="17"/>
  <c r="Z100" i="17"/>
  <c r="AA100" i="17"/>
  <c r="AB100" i="17"/>
  <c r="AC100" i="17"/>
  <c r="G101" i="17"/>
  <c r="H101" i="17"/>
  <c r="Y101" i="17"/>
  <c r="Z101" i="17"/>
  <c r="AA101" i="17"/>
  <c r="AB101" i="17"/>
  <c r="AC101" i="17"/>
  <c r="C102" i="17"/>
  <c r="Q102" i="17"/>
  <c r="G105" i="17"/>
  <c r="H105" i="17"/>
  <c r="Y105" i="17"/>
  <c r="Z105" i="17"/>
  <c r="AA105" i="17"/>
  <c r="AB105" i="17"/>
  <c r="AC105" i="17"/>
  <c r="D106" i="17"/>
  <c r="F106" i="17" s="1"/>
  <c r="G106" i="17"/>
  <c r="H106" i="17"/>
  <c r="Y106" i="17"/>
  <c r="Z106" i="17"/>
  <c r="AA106" i="17"/>
  <c r="AB106" i="17"/>
  <c r="AC106" i="17"/>
  <c r="G107" i="17"/>
  <c r="I107" i="17" s="1"/>
  <c r="H107" i="17"/>
  <c r="J107" i="17" s="1"/>
  <c r="Y107" i="17"/>
  <c r="Z107" i="17"/>
  <c r="AA107" i="17"/>
  <c r="AB107" i="17"/>
  <c r="AC107" i="17"/>
  <c r="C108" i="17"/>
  <c r="E108" i="17" s="1"/>
  <c r="G108" i="17"/>
  <c r="I108" i="17" s="1"/>
  <c r="H108" i="17"/>
  <c r="J108" i="17" s="1"/>
  <c r="Y108" i="17"/>
  <c r="Z108" i="17"/>
  <c r="AA108" i="17"/>
  <c r="AB108" i="17"/>
  <c r="AC108" i="17"/>
  <c r="C109" i="17"/>
  <c r="C110" i="17"/>
  <c r="E110" i="17" s="1"/>
  <c r="G110" i="17"/>
  <c r="H110" i="17"/>
  <c r="Y110" i="17"/>
  <c r="Z110" i="17"/>
  <c r="AA110" i="17"/>
  <c r="AB110" i="17"/>
  <c r="AC110" i="17"/>
  <c r="H111" i="17"/>
  <c r="Y111" i="17"/>
  <c r="Z111" i="17"/>
  <c r="AA111" i="17"/>
  <c r="AB111" i="17"/>
  <c r="AC111" i="17"/>
  <c r="G112" i="17"/>
  <c r="H112" i="17"/>
  <c r="Y112" i="17"/>
  <c r="Z112" i="17"/>
  <c r="AA112" i="17"/>
  <c r="AB112" i="17"/>
  <c r="AC112" i="17"/>
  <c r="C113" i="17"/>
  <c r="E113" i="17" s="1"/>
  <c r="G113" i="17"/>
  <c r="H113" i="17"/>
  <c r="Y113" i="17"/>
  <c r="Z113" i="17"/>
  <c r="AA113" i="17"/>
  <c r="AB113" i="17"/>
  <c r="AC113" i="17"/>
  <c r="C114" i="17"/>
  <c r="E114" i="17" s="1"/>
  <c r="G114" i="17"/>
  <c r="H114" i="17"/>
  <c r="Y114" i="17"/>
  <c r="Z114" i="17"/>
  <c r="AA114" i="17"/>
  <c r="AB114" i="17"/>
  <c r="AC114" i="17"/>
  <c r="G115" i="17"/>
  <c r="H115" i="17"/>
  <c r="Y115" i="17"/>
  <c r="AB115" i="17"/>
  <c r="AC115" i="17"/>
  <c r="C116" i="17"/>
  <c r="C117" i="17"/>
  <c r="E117" i="17" s="1"/>
  <c r="G117" i="17"/>
  <c r="H117" i="17"/>
  <c r="Y117" i="17"/>
  <c r="Z117" i="17"/>
  <c r="AA117" i="17"/>
  <c r="AB117" i="17"/>
  <c r="AC117" i="17"/>
  <c r="C118" i="17"/>
  <c r="E118" i="17" s="1"/>
  <c r="G118" i="17"/>
  <c r="H118" i="17"/>
  <c r="Y118" i="17"/>
  <c r="Z118" i="17"/>
  <c r="AA118" i="17"/>
  <c r="AB118" i="17"/>
  <c r="AC118" i="17"/>
  <c r="G119" i="17"/>
  <c r="H119" i="17"/>
  <c r="Y119" i="17"/>
  <c r="Z119" i="17"/>
  <c r="AA119" i="17"/>
  <c r="AB119" i="17"/>
  <c r="AC119" i="17"/>
  <c r="G120" i="17"/>
  <c r="H120" i="17"/>
  <c r="Y120" i="17"/>
  <c r="Z120" i="17"/>
  <c r="AA120" i="17"/>
  <c r="AB120" i="17"/>
  <c r="AC120" i="17"/>
  <c r="C121" i="17"/>
  <c r="A10" i="20"/>
  <c r="H10" i="20" s="1"/>
  <c r="C12" i="20"/>
  <c r="E12" i="20"/>
  <c r="C13" i="20"/>
  <c r="E13" i="20"/>
  <c r="C14" i="20"/>
  <c r="E14" i="20"/>
  <c r="C16" i="20"/>
  <c r="E16" i="20"/>
  <c r="C17" i="20"/>
  <c r="E17" i="20"/>
  <c r="C18" i="20"/>
  <c r="E18" i="20"/>
  <c r="C19" i="20"/>
  <c r="E19" i="20"/>
  <c r="C22" i="20"/>
  <c r="E22" i="20"/>
  <c r="C23" i="20"/>
  <c r="E23" i="20"/>
  <c r="C24" i="20"/>
  <c r="E24" i="20"/>
  <c r="C25" i="20"/>
  <c r="E25" i="20"/>
  <c r="C26" i="20"/>
  <c r="E26" i="20"/>
  <c r="C27" i="20"/>
  <c r="E27" i="20"/>
  <c r="C28" i="20"/>
  <c r="E28" i="20"/>
  <c r="C29" i="20"/>
  <c r="E29" i="20"/>
  <c r="C30" i="20"/>
  <c r="E30" i="20"/>
  <c r="C31" i="20"/>
  <c r="E31" i="20"/>
  <c r="C32" i="20"/>
  <c r="E32" i="20"/>
  <c r="C33" i="20"/>
  <c r="E33" i="20"/>
  <c r="C40" i="20"/>
  <c r="E40" i="20"/>
  <c r="C41" i="20"/>
  <c r="E41" i="20"/>
  <c r="C42" i="20"/>
  <c r="E42" i="20"/>
  <c r="C43" i="20"/>
  <c r="E43" i="20"/>
  <c r="C44" i="20"/>
  <c r="E44" i="20"/>
  <c r="C45" i="20"/>
  <c r="E45" i="20"/>
  <c r="C46" i="20"/>
  <c r="E46" i="20"/>
  <c r="C47" i="20"/>
  <c r="E47" i="20"/>
  <c r="C48" i="20"/>
  <c r="E48" i="20"/>
  <c r="C49" i="20"/>
  <c r="E49" i="20"/>
  <c r="C50" i="20"/>
  <c r="E50" i="20"/>
  <c r="C51" i="20"/>
  <c r="E51" i="20"/>
  <c r="C52" i="20"/>
  <c r="E52" i="20"/>
  <c r="C53" i="20"/>
  <c r="E53" i="20"/>
  <c r="C54" i="20"/>
  <c r="E54" i="20"/>
  <c r="C55" i="20"/>
  <c r="E55" i="20"/>
  <c r="C56" i="20"/>
  <c r="E56" i="20"/>
  <c r="C57" i="20"/>
  <c r="E57" i="20"/>
  <c r="C58" i="20"/>
  <c r="E58" i="20"/>
  <c r="C59" i="20"/>
  <c r="E59" i="20"/>
  <c r="C60" i="20"/>
  <c r="E60" i="20"/>
  <c r="C61" i="20"/>
  <c r="E61" i="20"/>
  <c r="C62" i="20"/>
  <c r="E62" i="20"/>
  <c r="C63" i="20"/>
  <c r="E63" i="20"/>
  <c r="C64" i="20"/>
  <c r="E64" i="20"/>
  <c r="C65" i="20"/>
  <c r="E65" i="20"/>
  <c r="C66" i="20"/>
  <c r="E66" i="20"/>
  <c r="C67" i="20"/>
  <c r="E67" i="20"/>
  <c r="C68" i="20"/>
  <c r="E68" i="20"/>
  <c r="C69" i="20"/>
  <c r="E69" i="20"/>
  <c r="C70" i="20"/>
  <c r="E70" i="20"/>
  <c r="C71" i="20"/>
  <c r="E71" i="20"/>
  <c r="C72" i="20"/>
  <c r="E72" i="20"/>
  <c r="C73" i="20"/>
  <c r="E73" i="20"/>
  <c r="C74" i="20"/>
  <c r="E74" i="20"/>
  <c r="C75" i="20"/>
  <c r="E75" i="20"/>
  <c r="C76" i="20"/>
  <c r="E76" i="20"/>
  <c r="C77" i="20"/>
  <c r="E77" i="20"/>
  <c r="C78" i="20"/>
  <c r="E78" i="20"/>
  <c r="C79" i="20"/>
  <c r="E79" i="20"/>
  <c r="C80" i="20"/>
  <c r="E80" i="20"/>
  <c r="C81" i="20"/>
  <c r="E81" i="20"/>
  <c r="C82" i="20"/>
  <c r="E82" i="20"/>
  <c r="C83" i="20"/>
  <c r="E83" i="20"/>
  <c r="C84" i="20"/>
  <c r="E84" i="20"/>
  <c r="C85" i="20"/>
  <c r="E85" i="20"/>
  <c r="C86" i="20"/>
  <c r="E86" i="20"/>
  <c r="C87" i="20"/>
  <c r="E87" i="20"/>
  <c r="C88" i="20"/>
  <c r="E88" i="20"/>
  <c r="C89" i="20"/>
  <c r="E89" i="20"/>
  <c r="C90" i="20"/>
  <c r="E90" i="20"/>
  <c r="C91" i="20"/>
  <c r="E91" i="20"/>
  <c r="C92" i="20"/>
  <c r="E92" i="20"/>
  <c r="C93" i="20"/>
  <c r="E93" i="20"/>
  <c r="C94" i="20"/>
  <c r="E94" i="20"/>
  <c r="C95" i="20"/>
  <c r="E95" i="20"/>
  <c r="C96" i="20"/>
  <c r="E96" i="20"/>
  <c r="C97" i="20"/>
  <c r="E97" i="20"/>
  <c r="C98" i="20"/>
  <c r="E98" i="20"/>
  <c r="C99" i="20"/>
  <c r="E99" i="20"/>
  <c r="C100" i="20"/>
  <c r="E100" i="20"/>
  <c r="C101" i="20"/>
  <c r="E101" i="20"/>
  <c r="C102" i="20"/>
  <c r="E102" i="20"/>
  <c r="C103" i="20"/>
  <c r="E103" i="20"/>
  <c r="C104" i="20"/>
  <c r="E104" i="20"/>
  <c r="C105" i="20"/>
  <c r="E105" i="20"/>
  <c r="C106" i="20"/>
  <c r="E106" i="20"/>
  <c r="C107" i="20"/>
  <c r="E107" i="20"/>
  <c r="C111" i="20"/>
  <c r="E111" i="20"/>
  <c r="C112" i="20"/>
  <c r="E112" i="20"/>
  <c r="C113" i="20"/>
  <c r="E113" i="20"/>
  <c r="C114" i="20"/>
  <c r="E114" i="20"/>
  <c r="C116" i="20"/>
  <c r="E116" i="20"/>
  <c r="C117" i="20"/>
  <c r="E117" i="20"/>
  <c r="C118" i="20"/>
  <c r="E118" i="20"/>
  <c r="C119" i="20"/>
  <c r="E119" i="20"/>
  <c r="C120" i="20"/>
  <c r="E120" i="20"/>
  <c r="C121" i="20"/>
  <c r="E121" i="20"/>
  <c r="C123" i="20"/>
  <c r="E123" i="20"/>
  <c r="C124" i="20"/>
  <c r="E124" i="20"/>
  <c r="C125" i="20"/>
  <c r="E125" i="20"/>
  <c r="C126" i="20"/>
  <c r="E126" i="20"/>
  <c r="G7" i="19"/>
  <c r="F7" i="18"/>
  <c r="K14" i="18"/>
  <c r="G24" i="18"/>
  <c r="H32" i="18"/>
  <c r="L36" i="18"/>
  <c r="L37" i="18"/>
  <c r="L38" i="18"/>
  <c r="L39" i="18"/>
  <c r="A5" i="20"/>
  <c r="C5" i="20" s="1"/>
  <c r="I101" i="17" l="1"/>
  <c r="K101" i="17" s="1"/>
  <c r="M101" i="17" s="1"/>
  <c r="I41" i="17"/>
  <c r="K41" i="17" s="1"/>
  <c r="M41" i="17" s="1"/>
  <c r="I98" i="17"/>
  <c r="K98" i="17" s="1"/>
  <c r="M98" i="17" s="1"/>
  <c r="J95" i="17"/>
  <c r="L95" i="17" s="1"/>
  <c r="N95" i="17" s="1"/>
  <c r="I79" i="17"/>
  <c r="K79" i="17" s="1"/>
  <c r="M79" i="17" s="1"/>
  <c r="I68" i="17"/>
  <c r="K68" i="17" s="1"/>
  <c r="M68" i="17" s="1"/>
  <c r="J57" i="17"/>
  <c r="L57" i="17" s="1"/>
  <c r="N57" i="17" s="1"/>
  <c r="J38" i="17"/>
  <c r="L38" i="17" s="1"/>
  <c r="N38" i="17" s="1"/>
  <c r="I38" i="17"/>
  <c r="K38" i="17" s="1"/>
  <c r="M38" i="17" s="1"/>
  <c r="I73" i="17"/>
  <c r="K73" i="17" s="1"/>
  <c r="M73" i="17" s="1"/>
  <c r="I46" i="17"/>
  <c r="K46" i="17" s="1"/>
  <c r="M46" i="17" s="1"/>
  <c r="J65" i="17"/>
  <c r="L65" i="17" s="1"/>
  <c r="N65" i="17" s="1"/>
  <c r="J43" i="17"/>
  <c r="L43" i="17" s="1"/>
  <c r="N43" i="17" s="1"/>
  <c r="J101" i="17"/>
  <c r="L101" i="17" s="1"/>
  <c r="N101" i="17" s="1"/>
  <c r="J41" i="17"/>
  <c r="L41" i="17" s="1"/>
  <c r="N41" i="17" s="1"/>
  <c r="I87" i="17"/>
  <c r="K87" i="17" s="1"/>
  <c r="M87" i="17" s="1"/>
  <c r="J84" i="17"/>
  <c r="L84" i="17" s="1"/>
  <c r="N84" i="17" s="1"/>
  <c r="I81" i="17"/>
  <c r="K81" i="17" s="1"/>
  <c r="M81" i="17" s="1"/>
  <c r="J100" i="17"/>
  <c r="L100" i="17" s="1"/>
  <c r="N100" i="17" s="1"/>
  <c r="I89" i="17"/>
  <c r="K89" i="17" s="1"/>
  <c r="M89" i="17" s="1"/>
  <c r="I70" i="17"/>
  <c r="K70" i="17" s="1"/>
  <c r="M70" i="17" s="1"/>
  <c r="I43" i="17"/>
  <c r="K43" i="17" s="1"/>
  <c r="M43" i="17" s="1"/>
  <c r="J40" i="17"/>
  <c r="L40" i="17" s="1"/>
  <c r="N40" i="17" s="1"/>
  <c r="I71" i="17"/>
  <c r="K71" i="17" s="1"/>
  <c r="M71" i="17" s="1"/>
  <c r="J68" i="17"/>
  <c r="L68" i="17" s="1"/>
  <c r="N68" i="17" s="1"/>
  <c r="J35" i="17"/>
  <c r="L35" i="17" s="1"/>
  <c r="N35" i="17" s="1"/>
  <c r="I115" i="17"/>
  <c r="K115" i="17" s="1"/>
  <c r="M115" i="17" s="1"/>
  <c r="I100" i="17"/>
  <c r="K100" i="17" s="1"/>
  <c r="M100" i="17" s="1"/>
  <c r="J97" i="17"/>
  <c r="L97" i="17" s="1"/>
  <c r="N97" i="17" s="1"/>
  <c r="J86" i="17"/>
  <c r="L86" i="17" s="1"/>
  <c r="N86" i="17" s="1"/>
  <c r="J78" i="17"/>
  <c r="L78" i="17" s="1"/>
  <c r="N78" i="17" s="1"/>
  <c r="J59" i="17"/>
  <c r="L59" i="17" s="1"/>
  <c r="N59" i="17" s="1"/>
  <c r="J51" i="17"/>
  <c r="L51" i="17" s="1"/>
  <c r="N51" i="17" s="1"/>
  <c r="I40" i="17"/>
  <c r="K40" i="17" s="1"/>
  <c r="M40" i="17" s="1"/>
  <c r="I78" i="17"/>
  <c r="K78" i="17" s="1"/>
  <c r="M78" i="17" s="1"/>
  <c r="I51" i="17"/>
  <c r="K51" i="17" s="1"/>
  <c r="M51" i="17" s="1"/>
  <c r="J37" i="17"/>
  <c r="L37" i="17" s="1"/>
  <c r="N37" i="17" s="1"/>
  <c r="J79" i="17"/>
  <c r="L79" i="17" s="1"/>
  <c r="N79" i="17" s="1"/>
  <c r="I57" i="17"/>
  <c r="K57" i="17" s="1"/>
  <c r="M57" i="17" s="1"/>
  <c r="J114" i="17"/>
  <c r="L114" i="17" s="1"/>
  <c r="N114" i="17" s="1"/>
  <c r="J75" i="17"/>
  <c r="L75" i="17" s="1"/>
  <c r="N75" i="17" s="1"/>
  <c r="I67" i="17"/>
  <c r="K67" i="17" s="1"/>
  <c r="M67" i="17" s="1"/>
  <c r="I56" i="17"/>
  <c r="K56" i="17" s="1"/>
  <c r="M56" i="17" s="1"/>
  <c r="J48" i="17"/>
  <c r="L48" i="17" s="1"/>
  <c r="N48" i="17" s="1"/>
  <c r="I37" i="17"/>
  <c r="K37" i="17" s="1"/>
  <c r="M37" i="17" s="1"/>
  <c r="J34" i="17"/>
  <c r="L34" i="17" s="1"/>
  <c r="N34" i="17" s="1"/>
  <c r="J81" i="17"/>
  <c r="L81" i="17" s="1"/>
  <c r="N81" i="17" s="1"/>
  <c r="J64" i="17"/>
  <c r="L64" i="17" s="1"/>
  <c r="N64" i="17" s="1"/>
  <c r="I48" i="17"/>
  <c r="K48" i="17" s="1"/>
  <c r="M48" i="17" s="1"/>
  <c r="J45" i="17"/>
  <c r="L45" i="17" s="1"/>
  <c r="N45" i="17" s="1"/>
  <c r="I45" i="17"/>
  <c r="K45" i="17" s="1"/>
  <c r="M45" i="17" s="1"/>
  <c r="J89" i="17"/>
  <c r="L89" i="17" s="1"/>
  <c r="N89" i="17" s="1"/>
  <c r="J52" i="17"/>
  <c r="L52" i="17" s="1"/>
  <c r="N52" i="17" s="1"/>
  <c r="J115" i="17"/>
  <c r="L115" i="17" s="1"/>
  <c r="N115" i="17" s="1"/>
  <c r="J49" i="17"/>
  <c r="L49" i="17" s="1"/>
  <c r="N49" i="17" s="1"/>
  <c r="I84" i="17"/>
  <c r="K84" i="17" s="1"/>
  <c r="M84" i="17" s="1"/>
  <c r="I86" i="17"/>
  <c r="K86" i="17" s="1"/>
  <c r="M86" i="17" s="1"/>
  <c r="J67" i="17"/>
  <c r="L67" i="17" s="1"/>
  <c r="N67" i="17" s="1"/>
  <c r="I83" i="17"/>
  <c r="K83" i="17" s="1"/>
  <c r="M83" i="17" s="1"/>
  <c r="J72" i="17"/>
  <c r="L72" i="17" s="1"/>
  <c r="N72" i="17" s="1"/>
  <c r="J53" i="17"/>
  <c r="L53" i="17" s="1"/>
  <c r="N53" i="17" s="1"/>
  <c r="I72" i="17"/>
  <c r="K72" i="17" s="1"/>
  <c r="M72" i="17" s="1"/>
  <c r="J61" i="17"/>
  <c r="L61" i="17" s="1"/>
  <c r="N61" i="17" s="1"/>
  <c r="J99" i="17"/>
  <c r="L99" i="17" s="1"/>
  <c r="N99" i="17" s="1"/>
  <c r="I88" i="17"/>
  <c r="K88" i="17" s="1"/>
  <c r="M88" i="17" s="1"/>
  <c r="I69" i="17"/>
  <c r="K69" i="17" s="1"/>
  <c r="M69" i="17" s="1"/>
  <c r="I61" i="17"/>
  <c r="K61" i="17" s="1"/>
  <c r="M61" i="17" s="1"/>
  <c r="I42" i="17"/>
  <c r="K42" i="17" s="1"/>
  <c r="M42" i="17" s="1"/>
  <c r="I34" i="17"/>
  <c r="K34" i="17" s="1"/>
  <c r="M34" i="17" s="1"/>
  <c r="J76" i="17"/>
  <c r="L76" i="17" s="1"/>
  <c r="N76" i="17" s="1"/>
  <c r="I76" i="17"/>
  <c r="K76" i="17" s="1"/>
  <c r="M76" i="17" s="1"/>
  <c r="I49" i="17"/>
  <c r="K49" i="17" s="1"/>
  <c r="M49" i="17" s="1"/>
  <c r="I35" i="17"/>
  <c r="K35" i="17" s="1"/>
  <c r="M35" i="17" s="1"/>
  <c r="J62" i="17"/>
  <c r="L62" i="17" s="1"/>
  <c r="N62" i="17" s="1"/>
  <c r="I62" i="17"/>
  <c r="K62" i="17" s="1"/>
  <c r="M62" i="17" s="1"/>
  <c r="I97" i="17"/>
  <c r="K97" i="17" s="1"/>
  <c r="M97" i="17" s="1"/>
  <c r="J56" i="17"/>
  <c r="L56" i="17" s="1"/>
  <c r="N56" i="17" s="1"/>
  <c r="I114" i="17"/>
  <c r="K114" i="17" s="1"/>
  <c r="M114" i="17" s="1"/>
  <c r="J83" i="17"/>
  <c r="L83" i="17" s="1"/>
  <c r="N83" i="17" s="1"/>
  <c r="J80" i="17"/>
  <c r="L80" i="17" s="1"/>
  <c r="N80" i="17" s="1"/>
  <c r="I80" i="17"/>
  <c r="K80" i="17" s="1"/>
  <c r="M80" i="17" s="1"/>
  <c r="J69" i="17"/>
  <c r="L69" i="17" s="1"/>
  <c r="N69" i="17" s="1"/>
  <c r="I99" i="17"/>
  <c r="K99" i="17" s="1"/>
  <c r="M99" i="17" s="1"/>
  <c r="J96" i="17"/>
  <c r="L96" i="17" s="1"/>
  <c r="N96" i="17" s="1"/>
  <c r="J77" i="17"/>
  <c r="L77" i="17" s="1"/>
  <c r="N77" i="17" s="1"/>
  <c r="J58" i="17"/>
  <c r="L58" i="17" s="1"/>
  <c r="N58" i="17" s="1"/>
  <c r="J39" i="17"/>
  <c r="L39" i="17" s="1"/>
  <c r="N39" i="17" s="1"/>
  <c r="I65" i="17"/>
  <c r="K65" i="17" s="1"/>
  <c r="M65" i="17" s="1"/>
  <c r="J54" i="17"/>
  <c r="L54" i="17" s="1"/>
  <c r="N54" i="17" s="1"/>
  <c r="I59" i="17"/>
  <c r="K59" i="17" s="1"/>
  <c r="M59" i="17" s="1"/>
  <c r="I75" i="17"/>
  <c r="K75" i="17" s="1"/>
  <c r="M75" i="17" s="1"/>
  <c r="I64" i="17"/>
  <c r="K64" i="17" s="1"/>
  <c r="M64" i="17" s="1"/>
  <c r="I53" i="17"/>
  <c r="K53" i="17" s="1"/>
  <c r="M53" i="17" s="1"/>
  <c r="J42" i="17"/>
  <c r="L42" i="17" s="1"/>
  <c r="N42" i="17" s="1"/>
  <c r="I96" i="17"/>
  <c r="K96" i="17" s="1"/>
  <c r="M96" i="17" s="1"/>
  <c r="J85" i="17"/>
  <c r="L85" i="17" s="1"/>
  <c r="N85" i="17" s="1"/>
  <c r="I77" i="17"/>
  <c r="K77" i="17" s="1"/>
  <c r="M77" i="17" s="1"/>
  <c r="J66" i="17"/>
  <c r="L66" i="17" s="1"/>
  <c r="N66" i="17" s="1"/>
  <c r="I58" i="17"/>
  <c r="K58" i="17" s="1"/>
  <c r="M58" i="17" s="1"/>
  <c r="I39" i="17"/>
  <c r="K39" i="17" s="1"/>
  <c r="M39" i="17" s="1"/>
  <c r="J36" i="17"/>
  <c r="L36" i="17" s="1"/>
  <c r="N36" i="17" s="1"/>
  <c r="J60" i="17"/>
  <c r="L60" i="17" s="1"/>
  <c r="N60" i="17" s="1"/>
  <c r="J98" i="17"/>
  <c r="L98" i="17" s="1"/>
  <c r="N98" i="17" s="1"/>
  <c r="J46" i="17"/>
  <c r="L46" i="17" s="1"/>
  <c r="N46" i="17" s="1"/>
  <c r="I54" i="17"/>
  <c r="K54" i="17" s="1"/>
  <c r="M54" i="17" s="1"/>
  <c r="J88" i="17"/>
  <c r="L88" i="17" s="1"/>
  <c r="N88" i="17" s="1"/>
  <c r="I85" i="17"/>
  <c r="K85" i="17" s="1"/>
  <c r="M85" i="17" s="1"/>
  <c r="J74" i="17"/>
  <c r="L74" i="17" s="1"/>
  <c r="N74" i="17" s="1"/>
  <c r="I66" i="17"/>
  <c r="K66" i="17" s="1"/>
  <c r="M66" i="17" s="1"/>
  <c r="J55" i="17"/>
  <c r="L55" i="17" s="1"/>
  <c r="N55" i="17" s="1"/>
  <c r="I50" i="17"/>
  <c r="K50" i="17" s="1"/>
  <c r="M50" i="17" s="1"/>
  <c r="J47" i="17"/>
  <c r="L47" i="17" s="1"/>
  <c r="N47" i="17" s="1"/>
  <c r="I36" i="17"/>
  <c r="K36" i="17" s="1"/>
  <c r="M36" i="17" s="1"/>
  <c r="J87" i="17"/>
  <c r="L87" i="17" s="1"/>
  <c r="N87" i="17" s="1"/>
  <c r="J70" i="17"/>
  <c r="L70" i="17" s="1"/>
  <c r="N70" i="17" s="1"/>
  <c r="J82" i="17"/>
  <c r="L82" i="17" s="1"/>
  <c r="N82" i="17" s="1"/>
  <c r="I74" i="17"/>
  <c r="K74" i="17" s="1"/>
  <c r="M74" i="17" s="1"/>
  <c r="J63" i="17"/>
  <c r="L63" i="17" s="1"/>
  <c r="N63" i="17" s="1"/>
  <c r="I55" i="17"/>
  <c r="K55" i="17" s="1"/>
  <c r="M55" i="17" s="1"/>
  <c r="I47" i="17"/>
  <c r="K47" i="17" s="1"/>
  <c r="M47" i="17" s="1"/>
  <c r="J44" i="17"/>
  <c r="L44" i="17" s="1"/>
  <c r="N44" i="17" s="1"/>
  <c r="I52" i="17"/>
  <c r="K52" i="17" s="1"/>
  <c r="M52" i="17" s="1"/>
  <c r="J73" i="17"/>
  <c r="L73" i="17" s="1"/>
  <c r="N73" i="17" s="1"/>
  <c r="I82" i="17"/>
  <c r="K82" i="17" s="1"/>
  <c r="M82" i="17" s="1"/>
  <c r="J71" i="17"/>
  <c r="L71" i="17" s="1"/>
  <c r="N71" i="17" s="1"/>
  <c r="I63" i="17"/>
  <c r="K63" i="17" s="1"/>
  <c r="M63" i="17" s="1"/>
  <c r="L34" i="18"/>
  <c r="B40" i="18" s="1"/>
  <c r="L40" i="18"/>
  <c r="A4" i="20"/>
  <c r="G10" i="20"/>
  <c r="D9" i="18" s="1"/>
  <c r="J10" i="20"/>
  <c r="I10" i="20"/>
  <c r="F10" i="20"/>
  <c r="L25" i="18" s="1"/>
  <c r="Q104" i="17"/>
  <c r="Q103" i="17"/>
  <c r="I9" i="18" l="1"/>
  <c r="I17" i="18"/>
  <c r="J19" i="18"/>
  <c r="C13" i="18"/>
  <c r="B11" i="18"/>
  <c r="J20" i="18"/>
  <c r="J18" i="18"/>
  <c r="I5" i="18"/>
  <c r="G20" i="18"/>
  <c r="I23" i="18"/>
  <c r="F15" i="18"/>
  <c r="B7" i="18"/>
  <c r="I22" i="18"/>
  <c r="L22" i="18"/>
  <c r="F5" i="18"/>
  <c r="B4" i="18"/>
  <c r="K4" i="18"/>
  <c r="M18" i="18"/>
  <c r="F13" i="18"/>
  <c r="B15" i="18"/>
  <c r="L23" i="18"/>
  <c r="F22" i="18" s="1"/>
  <c r="L24" i="18"/>
  <c r="J21" i="18"/>
  <c r="A3" i="20"/>
  <c r="C4" i="20"/>
  <c r="G19" i="18"/>
  <c r="F23" i="18" l="1"/>
  <c r="G21" i="18"/>
  <c r="A2" i="20"/>
  <c r="C3" i="20"/>
  <c r="G25" i="18" l="1"/>
  <c r="C2" i="20"/>
  <c r="E8" i="18"/>
  <c r="A6" i="20"/>
  <c r="A7" i="20" s="1"/>
  <c r="C7" i="20" s="1"/>
  <c r="B14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freunha</author>
    <author>ST</author>
  </authors>
  <commentList>
    <comment ref="F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Sisältää peruspalkan lisäksi tehtävän vaativuuden perusteella maksetut "tva-lisät". Vuosiviikkoylitunti- ja kertatuntipalkkioden laskentaperuste.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Huojentamaton opetusvelvollisuus, tuntia/viikko.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Peruskoulussa ja lukiossa voi koskea vain virkarehtoria, kokonaistyöajassa olevaa apulaisrehtoria ja oppilaanohjauksen lehtoria (epäpätevyysalennus tai kokonaistyöajassa olevan apulaisrehtorin palkka). Muissa oppilaitoksissa epäpätevyysalennus.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3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Mitkä tahansa muut palkkatekijät, kuin tehtäväkohtainen palkka, vuosisidonnainen lisä tai kohdissa 6 ja 7 ilmoitetut palkkiot.</t>
        </r>
      </text>
    </comment>
    <comment ref="I14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Koko lukuvuodeksi vahvistettujen ylituntien määrä viikossa (OVTES Osio A 26 § 2-4 mom. muk.)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6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Yksittäin maksettavien tuntien määrä kuukaudessa (OVTES Osio A 26 § 5-6 mom. muk.)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19" authorId="1" shapeId="0" xr:uid="{00000000-0006-0000-0000-000007000000}">
      <text>
        <r>
          <rPr>
            <b/>
            <sz val="8"/>
            <color indexed="81"/>
            <rFont val="Tahoma"/>
            <family val="2"/>
          </rPr>
          <t>Koskee vain kansalaisopiston tuntiopettajaa (Liite 12 14 §) ja kansanopiston tuntiopettajaa (Liite 13 11 §)</t>
        </r>
      </text>
    </comment>
    <comment ref="M20" authorId="1" shapeId="0" xr:uid="{00000000-0006-0000-0000-000008000000}">
      <text>
        <r>
          <rPr>
            <sz val="8"/>
            <color indexed="81"/>
            <rFont val="Tahoma"/>
            <family val="2"/>
          </rPr>
          <t xml:space="preserve">Koskee vain kansalais- tai kansanopiston tuntiopettajia (Liite 12 13 § 2 mom. ja Liite 13 10 § 2 mom.)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21" authorId="1" shapeId="0" xr:uid="{00000000-0006-0000-0000-000009000000}">
      <text>
        <r>
          <rPr>
            <sz val="8"/>
            <color indexed="81"/>
            <rFont val="Tahoma"/>
            <family val="2"/>
          </rPr>
          <t>Koskee vain kansalais- tai kansanopiston ja lasten taidekoulujen tuntiopettajia sekä musiikkioppilaitosten sivutoimisia tuntiopettajia.</t>
        </r>
      </text>
    </comment>
    <comment ref="L29" authorId="1" shapeId="0" xr:uid="{00000000-0006-0000-0000-00000A000000}">
      <text>
        <r>
          <rPr>
            <b/>
            <sz val="8"/>
            <color indexed="81"/>
            <rFont val="Tahoma"/>
            <family val="2"/>
          </rPr>
          <t>Osio C Liite 1 15§</t>
        </r>
      </text>
    </comment>
    <comment ref="L30" authorId="1" shapeId="0" xr:uid="{00000000-0006-0000-0000-00000B000000}">
      <text>
        <r>
          <rPr>
            <b/>
            <sz val="8"/>
            <color indexed="81"/>
            <rFont val="Tahoma"/>
            <family val="2"/>
          </rPr>
          <t>Osio C Liite 1 15§</t>
        </r>
      </text>
    </comment>
    <comment ref="L31" authorId="1" shapeId="0" xr:uid="{00000000-0006-0000-0000-00000C000000}">
      <text>
        <r>
          <rPr>
            <b/>
            <sz val="8"/>
            <color indexed="81"/>
            <rFont val="Tahoma"/>
            <family val="2"/>
          </rPr>
          <t>Osio C Liite 1 16§</t>
        </r>
      </text>
    </comment>
    <comment ref="B35" authorId="1" shapeId="0" xr:uid="{00000000-0006-0000-0000-00000D000000}">
      <text>
        <r>
          <rPr>
            <b/>
            <sz val="8"/>
            <color indexed="81"/>
            <rFont val="Tahoma"/>
            <family val="2"/>
          </rPr>
          <t>6-20 % (Osio A 8 § 1 mom.)</t>
        </r>
      </text>
    </comment>
    <comment ref="F38" authorId="1" shapeId="0" xr:uid="{00000000-0006-0000-0000-00000E000000}">
      <text>
        <r>
          <rPr>
            <b/>
            <sz val="8"/>
            <color indexed="81"/>
            <rFont val="Tahoma"/>
            <family val="2"/>
          </rPr>
          <t xml:space="preserve">Mm. henkilökohtainen lisä (Osio A 11 §), syrjäseutulisä, (Osio A 19 §), kielilisä (KVTES Luku 2  16 §), luottamusmieskorvaus (KVTES Luku VII 10 §) sekä työsuojeluvaltuutetun korvaus.
</t>
        </r>
      </text>
    </comment>
    <comment ref="B39" authorId="1" shapeId="0" xr:uid="{00000000-0006-0000-0000-00000F000000}">
      <text>
        <r>
          <rPr>
            <b/>
            <sz val="8"/>
            <color indexed="81"/>
            <rFont val="Tahoma"/>
            <family val="2"/>
          </rPr>
          <t xml:space="preserve">Tähän merkitään tehtäväkohtainen palkka, joka sisältää palveluvuosien vaikutuksen palkkaan (Osio C Liite 1 7 § ja 8 §)
 </t>
        </r>
      </text>
    </comment>
    <comment ref="F40" authorId="1" shapeId="0" xr:uid="{00000000-0006-0000-0000-000010000000}">
      <text>
        <r>
          <rPr>
            <b/>
            <sz val="8"/>
            <color indexed="81"/>
            <rFont val="Tahoma"/>
            <family val="2"/>
          </rPr>
          <t xml:space="preserve">Muut kuin kohdan 6 lisät.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Freund Hannu</author>
  </authors>
  <commentList>
    <comment ref="Q11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Freund Hannu:</t>
        </r>
        <r>
          <rPr>
            <sz val="9"/>
            <color indexed="81"/>
            <rFont val="Tahoma"/>
            <family val="2"/>
          </rPr>
          <t xml:space="preserve">
Huom kaava!</t>
        </r>
      </text>
    </comment>
    <comment ref="Q12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Freund Hannu:</t>
        </r>
        <r>
          <rPr>
            <sz val="9"/>
            <color indexed="81"/>
            <rFont val="Tahoma"/>
            <family val="2"/>
          </rPr>
          <t xml:space="preserve">
Huom kaava!</t>
        </r>
      </text>
    </comment>
  </commentList>
</comments>
</file>

<file path=xl/sharedStrings.xml><?xml version="1.0" encoding="utf-8"?>
<sst xmlns="http://schemas.openxmlformats.org/spreadsheetml/2006/main" count="1128" uniqueCount="605">
  <si>
    <t>Kalleusluokka</t>
  </si>
  <si>
    <t>Hinnoittelutunnus</t>
  </si>
  <si>
    <t>I kl</t>
  </si>
  <si>
    <t>II kl</t>
  </si>
  <si>
    <t>Koodi</t>
  </si>
  <si>
    <t>valittu</t>
  </si>
  <si>
    <t>lisäpalkkiot</t>
  </si>
  <si>
    <t>Alkuopetuksen lisä (01220)</t>
  </si>
  <si>
    <t>Yhteisyyslisä (01220)</t>
  </si>
  <si>
    <t>Yt-peruste</t>
  </si>
  <si>
    <t>Peruspalk</t>
  </si>
  <si>
    <t>Ei ole</t>
  </si>
  <si>
    <t>Kl-kert. sis.</t>
  </si>
  <si>
    <t>Vuosiviikko ytp</t>
  </si>
  <si>
    <t>Kertatuntip.</t>
  </si>
  <si>
    <t xml:space="preserve">Sivut tuntiop </t>
  </si>
  <si>
    <t>e/kk</t>
  </si>
  <si>
    <t>40304005 Peruskoulun lehtori/ykkt ja perus-/lukio-op. kelp. tai aiempi vanh. lehtorin kelp.</t>
  </si>
  <si>
    <t>40304007 Peruskoulun lehtori/muu kuin em. perus-, aineen-, luokan- tai erit.op.opettajan kelp.</t>
  </si>
  <si>
    <t>40304008 Peruskoulun lehtori/ykkt</t>
  </si>
  <si>
    <t>40304009 Peruskoulun lehtori/korkeakoulututkinto</t>
  </si>
  <si>
    <t>40304010 Peruskoulun lehtori/muu kuin edellä mainittu</t>
  </si>
  <si>
    <t>40304012 Peruskoulun erityisopet.opettaja/ykkt ja erit.op.kelp.</t>
  </si>
  <si>
    <t>40304013 Peruskoulun erityisopet.opettaja/erit.op.kelp.</t>
  </si>
  <si>
    <t>40304014 Peruskoulun erityisopet.opettaja/akkt ja erit.op.kelp</t>
  </si>
  <si>
    <t>40304015 Peruskoulun erityisopet.opettaja/ykkt ja perus/lukio-opetuksen kelp.</t>
  </si>
  <si>
    <t>40304016 Vaik.kehitysvamm.(EHA 2) opetuksen erityisopettajan kelp.tai perus-/lukio-op. kelp.</t>
  </si>
  <si>
    <t>40304017 Peruskoulun erityisopet.opettaja/muu kuin em.</t>
  </si>
  <si>
    <t>40304020 Esiluokanopettaja/ykkt ja perus-/lukio-opetuksen kelp.</t>
  </si>
  <si>
    <t>40304021 Esiluokanopettaja/asetuksen 986/1998 7 §:n mukainen kelp.</t>
  </si>
  <si>
    <t>40304022 Esiluokanopettaja/muu kuin edellä mainittu</t>
  </si>
  <si>
    <t>40304030 Peruskoulun luokanopettaja/ykkt ja perus-/lukio-opetuksen kelp</t>
  </si>
  <si>
    <t>40304031 Peruskoulun luokanopettaja/perus-/lukio-opetuksen kelp</t>
  </si>
  <si>
    <t>40304033 Peruskoulun luokanopettaja/muu kuin edellä mainittu</t>
  </si>
  <si>
    <t>40307038 Vuosiluokkien 7-9 tuntiop/ykkt ja perus-/lukio-op.kelp. tai aiempi vanh. lehtorin kelp.</t>
  </si>
  <si>
    <t>40307040 Vuosiluokkien 7-9 tuntiop/muu kuin em. perus-, aineen-, luokan- tai erit.op. Opet. kelp.</t>
  </si>
  <si>
    <t>40307041 Vuosiluokkien 7-9 tuntiop/ylempi korkeakoulututkinto</t>
  </si>
  <si>
    <t>40307042 Vuosiluokkien 7-9 tuntiop/korkeakoulututkinto</t>
  </si>
  <si>
    <t>40307043 Vuosiluokkien 7-9 tuntiop/muu kuin edellä mainittu</t>
  </si>
  <si>
    <t>40307044 Erityisopetuksen tuntiopettaja/ykkt ja erit.op.kelp.</t>
  </si>
  <si>
    <t>40307045 Erityisopetuksen tuntiopettaja/erit.op.kelp.</t>
  </si>
  <si>
    <t>40307046 Erityisopetuksen tuntiopettaja/akkt ja erit.op.kelp</t>
  </si>
  <si>
    <t>40307047 Erityisopetuksen tuntiopettaja/ykkt ja perus/lukio-opetuksen kelp.</t>
  </si>
  <si>
    <t>40307048 Vaik.kehitysvamm.(EHA 2) opetuksen erityisop.. kelp.tai perus-/lukio-opetuksen kelp.</t>
  </si>
  <si>
    <t>40307049 Erityisopetuksen tuntiopettaja/muu kuin em.</t>
  </si>
  <si>
    <t>40307056 Vuosiluokkien 1-6 tuntiopettaja/ykkt ja perus-/lukio-opetuksen kelp</t>
  </si>
  <si>
    <t>40307057 Vuosiluokkien 1-6 tuntiopettaja/perus-/lukio-opetuksen kelp</t>
  </si>
  <si>
    <t>40307059 Vuosiluokkien 1-6 tuntiopettaja/muu kuin edellä mainittu</t>
  </si>
  <si>
    <t>40307062 Esiopetuksen tuntiopettaja/ykkt ja perus-/lukio-opetuksen kelp.</t>
  </si>
  <si>
    <t>40307063 Esiopetuksen tuntiopettaja/asetuksen 986/1998 7 §:n mukainen kelp.</t>
  </si>
  <si>
    <t>40307064 Esiopetuksen tuntiopettaja/muu kuin edellä mainittu</t>
  </si>
  <si>
    <t>40404017 Lukion lehtori/ykkt ja lukio-opetuksen kelp. tai aiempi vanh. lehtorin kelp.</t>
  </si>
  <si>
    <t>40404018 Lukion lehtori/aiempi lukio-op.kelp tai  perusop.kelp.</t>
  </si>
  <si>
    <t>40404022 Lukion lehtori/korkeakoulututk.</t>
  </si>
  <si>
    <t>40404023 Lukion lehtori/muu tutk.</t>
  </si>
  <si>
    <t>40404024 Aikuislukion ja aikuislinjan lehtori/ykkt ja lukio/perusop. kelp. tai aiempi vanh. leht. kelp.</t>
  </si>
  <si>
    <t>40404025 Aikuislukion ja aikuislinjan lehtori/lukio/perusop. kelp. tai aiempi aikuislukion op. kelp.</t>
  </si>
  <si>
    <t>40404026 Aikuislukion ja aikuislinjan lehtori/muu</t>
  </si>
  <si>
    <t>40404027 Aikuislukion ja aikuislinjan lehtori/korkeakoulututkinto</t>
  </si>
  <si>
    <t>40407039 Lukion tuntiopettaja/akkt ym.</t>
  </si>
  <si>
    <t>40407041 Lukion tuntiopettaja/muu tutk.</t>
  </si>
  <si>
    <t>40407042 Lukion tuntiopettaja/korkeakoulututk.</t>
  </si>
  <si>
    <t>40407050 Aikuislukion tuntiopettaja/ykkt ja lukio-/perusop. kelp tai aiempi vanh. lehtorin kelp.</t>
  </si>
  <si>
    <t>40407051 Aikuislukion tuntiopettaja/akkt ym.</t>
  </si>
  <si>
    <t>40407053 Aikuislukion tuntiopettaja/korkeakoulututk.</t>
  </si>
  <si>
    <t xml:space="preserve">40407054 Aikuislukion tuntiopettaja/muu </t>
  </si>
  <si>
    <t>40804008 Musiikkioppil. ammatillisen koulutuksen opettaja</t>
  </si>
  <si>
    <t>40804012 Musiikkioppil.opettaja/ykkt</t>
  </si>
  <si>
    <t>40804013 Musiikkioppil.opettaja/muu tutk.</t>
  </si>
  <si>
    <t>40804014 Musiikkioppil.opettaja/amk ym.</t>
  </si>
  <si>
    <t>40807027 Musiikkioppil. tuntiopettaja/muu tutk</t>
  </si>
  <si>
    <t>40807028 Musiikkioppil. tuntiopettaja/amk ym.</t>
  </si>
  <si>
    <t>Hitun</t>
  </si>
  <si>
    <t>Epäp al</t>
  </si>
  <si>
    <t>On</t>
  </si>
  <si>
    <t>2. Valitse kalleusluokka:</t>
  </si>
  <si>
    <t>1. Valitse hinnoittelutunnus:</t>
  </si>
  <si>
    <t>epäpale ei mahd</t>
  </si>
  <si>
    <t>Tehtäväkohtainen palkka ei voi olla pienempi kuin peruspalkka!</t>
  </si>
  <si>
    <t>Virheen kommentti:</t>
  </si>
  <si>
    <t>epäpale valittu</t>
  </si>
  <si>
    <t>virhe</t>
  </si>
  <si>
    <t>Epäpät ale</t>
  </si>
  <si>
    <t>Poista kysymyksen 3 syötetty palkka tai valitse 'On epäpätevyysalennus' !</t>
  </si>
  <si>
    <t>(ei virheitä)</t>
  </si>
  <si>
    <t>40307054 Vuosiluokkien 1-6 tuntiopettaja./ykkt ja aineenopet. kelpoisuus</t>
  </si>
  <si>
    <t>TEHTÄVÄKOHTAINEN</t>
  </si>
  <si>
    <t>PALKKA:</t>
  </si>
  <si>
    <t>OPETUS-</t>
  </si>
  <si>
    <t>VELVOLLISUUS:</t>
  </si>
  <si>
    <t>Vuosisidonnaisen lisän prosentit</t>
  </si>
  <si>
    <t>5v</t>
  </si>
  <si>
    <t>8v</t>
  </si>
  <si>
    <t>10v</t>
  </si>
  <si>
    <t>15v</t>
  </si>
  <si>
    <t>20v</t>
  </si>
  <si>
    <t>0v</t>
  </si>
  <si>
    <t>vuosisid osa</t>
  </si>
  <si>
    <t>5 vuotta</t>
  </si>
  <si>
    <t>8 vuotta</t>
  </si>
  <si>
    <t>10 vuotta</t>
  </si>
  <si>
    <t>15 vuotta</t>
  </si>
  <si>
    <t>20 vuotta</t>
  </si>
  <si>
    <t>Vuosisidonnaisen lisän prosentit, kumulatiivinen</t>
  </si>
  <si>
    <t>alle 5 vuotta</t>
  </si>
  <si>
    <t>tuntia/vko</t>
  </si>
  <si>
    <t>tuntia/kk</t>
  </si>
  <si>
    <t>+ Vuosisidonnainen osa</t>
  </si>
  <si>
    <t xml:space="preserve">   Tehtäväkohtainen palkka</t>
  </si>
  <si>
    <t xml:space="preserve">  = KOKONAISANSIOT YHTEENSÄ</t>
  </si>
  <si>
    <t>Toteutuva kommentti</t>
  </si>
  <si>
    <t>LASKELMA VALMIS</t>
  </si>
  <si>
    <t>VUOSISIDONNAINEN OSA:</t>
  </si>
  <si>
    <t>e/tunti</t>
  </si>
  <si>
    <t>Sivut.tuntiop. tuntipalkkio</t>
  </si>
  <si>
    <t>Vuosiv. ylitunnin     a-hinta</t>
  </si>
  <si>
    <t>Kertatuntipalkkion  a-hinta</t>
  </si>
  <si>
    <t>40301101 Ala-asteen rehtori, 12-23</t>
  </si>
  <si>
    <t>40301201 Ala-asteen rehtori, 24-30</t>
  </si>
  <si>
    <t>40301102 Yläasteen rehtori, -6</t>
  </si>
  <si>
    <t>40301202 Yläasteen rehtori, 7-14</t>
  </si>
  <si>
    <t>40301302 Yläasteen rehtori, 15-19</t>
  </si>
  <si>
    <t>40301103 Erityiskoulun reht., 6-11</t>
  </si>
  <si>
    <t>40301203 Erityiskoulun reht., 12-20</t>
  </si>
  <si>
    <t>40301303 Erityiskoulun reht., 21-25</t>
  </si>
  <si>
    <t>40301403 Erityiskoulun reht., 26-</t>
  </si>
  <si>
    <t>40302000 Peruskoulun kokonaistyöajassa oleva apulaisrehtori</t>
  </si>
  <si>
    <t>40402000 Lukion kokonaistyöajassa oleva apulaisrehtori</t>
  </si>
  <si>
    <t>40401005 Lukion rehtori</t>
  </si>
  <si>
    <t>40401011 Aikuislukion rehtori</t>
  </si>
  <si>
    <t>40304066 Peruskoulun oppilaanohjaaja</t>
  </si>
  <si>
    <t>40304067 Peruskoulun oppilaanohjaaja, ei kelpoisuutta</t>
  </si>
  <si>
    <t>40304028 Peruskoulun luokanopet./ykkt ja aineenopet. kelpoisuus</t>
  </si>
  <si>
    <t>40901024 Ammatillisen oppilaitoksen rehtori</t>
  </si>
  <si>
    <t>40801002 Musiikkioppilaitoksen rehtori</t>
  </si>
  <si>
    <t>40802005 Musiikkioppilaitoksen apulaisrehtori</t>
  </si>
  <si>
    <t>40807026 Musiikkioppil. tuntiopettaja/ykkt</t>
  </si>
  <si>
    <t>40701011 Kansanopiston rehtori</t>
  </si>
  <si>
    <t>40704021 Kansanopiston opettaja/ykkt (vaihtoehto 2)</t>
  </si>
  <si>
    <t>40704022 Kansanopiston opettaja/akkt (vaihtoehto 2)</t>
  </si>
  <si>
    <t>40704023 Kansanopiston opettaja/muu tutk.(vaihtoehto 2)</t>
  </si>
  <si>
    <t>40501001 Lasten ja nuorten taidekoulun rehtori/ykkt</t>
  </si>
  <si>
    <t>40501002 Lasten ja nuorten taidekoulun rehtori/kuv.taidon op. tutk.</t>
  </si>
  <si>
    <t>40504004 Lasten ja nuorten taidekoulun op. v.e. 1</t>
  </si>
  <si>
    <t>40504005 Lasten ja nuorten taidekoulun op. v.e. 2</t>
  </si>
  <si>
    <t>+ Vuosiviikkoylituntipalkkiot yht</t>
  </si>
  <si>
    <t xml:space="preserve">   Peruspalkka</t>
  </si>
  <si>
    <t>opv-ope</t>
  </si>
  <si>
    <t>%-alaraja</t>
  </si>
  <si>
    <t>tuntiopettaja</t>
  </si>
  <si>
    <t>Alennettu palkka ei voi olla hinnoittelutunnuksen mukaista peruspalkkaa suurempi!</t>
  </si>
  <si>
    <t>Alennettu peruspalkka ei mahdollinen ko. hinnoittelussa. Valitse uudelleen!</t>
  </si>
  <si>
    <t>40407037 Lukion tuntiopettaja/ykkt ja lukio-/perusopetuksen kelp. tai aiempi vanh. lehtorin kelp.</t>
  </si>
  <si>
    <t>Tuntiopettajan tuntipalkkio</t>
  </si>
  <si>
    <t>VÄHIMMÄISPALKKA:</t>
  </si>
  <si>
    <t>PALVELUVUODET:</t>
  </si>
  <si>
    <t>YLITUNTIPALKKIOIDEN LKM:</t>
  </si>
  <si>
    <t xml:space="preserve">   Palkka</t>
  </si>
  <si>
    <t>+ Epämukavan työajan lisät yht.</t>
  </si>
  <si>
    <t>0 vuotta palvelua</t>
  </si>
  <si>
    <t>10 vuotta palvelua</t>
  </si>
  <si>
    <t>15 vuotta palvelua</t>
  </si>
  <si>
    <t>Alaraja</t>
  </si>
  <si>
    <t>Yläraja</t>
  </si>
  <si>
    <t>Hitu</t>
  </si>
  <si>
    <t>TYÖAIKALISÄT:</t>
  </si>
  <si>
    <t>%:a</t>
  </si>
  <si>
    <t>5. Syötä palkka:</t>
  </si>
  <si>
    <t>MUUT KORVAUKSET JA LISÄT:</t>
  </si>
  <si>
    <t>1 kl</t>
  </si>
  <si>
    <t>2 kl</t>
  </si>
  <si>
    <t>6. Syötä varsinaiseen palkkaan kuuluvat</t>
  </si>
  <si>
    <t>lisät yhteensä:</t>
  </si>
  <si>
    <t>9. Syötä muiden korvausten ja lisien euromäärä yhteensä:</t>
  </si>
  <si>
    <t>7. Syötä muut</t>
  </si>
  <si>
    <t>+ Muut korvaukset ja lisät yht</t>
  </si>
  <si>
    <t>+ Kertatuntipalkkiot yht</t>
  </si>
  <si>
    <t>40003001 Apulaisrehtori ja aikuiskoulutusjohtaja/ykkt</t>
  </si>
  <si>
    <t>40003002 Apulaisrehtori ja aikuiskoulutusjohtaja/muu tutkinto</t>
  </si>
  <si>
    <t>Tehtäväkohtaisen palkan asteikot / Peruspalkat:</t>
  </si>
  <si>
    <t>Hinnoittelu-</t>
  </si>
  <si>
    <t>Osio/</t>
  </si>
  <si>
    <t>tunnus</t>
  </si>
  <si>
    <t>Osio B</t>
  </si>
  <si>
    <t>Liite 1</t>
  </si>
  <si>
    <t>Esiluokanopettaja/muu kuin edellä mainittu</t>
  </si>
  <si>
    <t>Esiopetuksen tuntiopettaja/muu kuin edellä mainittu</t>
  </si>
  <si>
    <t>Liite 2</t>
  </si>
  <si>
    <t>Liite 3</t>
  </si>
  <si>
    <t>Aikuislukion ja aikuislinjan lehtori/korkeakoulututkinto</t>
  </si>
  <si>
    <t>Osio C</t>
  </si>
  <si>
    <t>Apulaisrehtori ja aikuiskoulutusjohtaja/muu tutkinto</t>
  </si>
  <si>
    <t>Opinto-ohjaaja/muu tutkinto</t>
  </si>
  <si>
    <t>Liite 10</t>
  </si>
  <si>
    <t>Liite 11</t>
  </si>
  <si>
    <t>Lasten ja nuorten taidekoulun tuntiopettaja</t>
  </si>
  <si>
    <t>Liite 12</t>
  </si>
  <si>
    <t>Kansalaisopiston tuntiopettaja</t>
  </si>
  <si>
    <t>Liite 13</t>
  </si>
  <si>
    <t>Tuntipalkat:</t>
  </si>
  <si>
    <t>Musiikkioppilaitoksen sivutoimisen tuntiopettajan tuntipalkkio:</t>
  </si>
  <si>
    <t>Muu soveltuva tutkinto taikka aiempi opettajan tai säestäjän kelpoisuus</t>
  </si>
  <si>
    <t>Lasten ja nuorten taidekoulun tuntiopettajan tuntipalkkio:</t>
  </si>
  <si>
    <t>Kansalaisopiston tuntiopettajan tuntipalkkio:</t>
  </si>
  <si>
    <t>Kansanopiston tuntiopettajan tuntipalkkio:</t>
  </si>
  <si>
    <t xml:space="preserve">40807029 Musiikkioppil. sivutoiminen tuntiop/soveltuva ylempi korkeakoulututkinto </t>
  </si>
  <si>
    <t>40807030 Musiikkioppil. sivutoiminen tuntiop/soveltuva ammattikorkeakoulututkinto, konservatorion jatkotutkinto tai aiempi lehtorin kelpoisuus</t>
  </si>
  <si>
    <t>40807031 Musiikkioppil. sivutoiminen tuntiop/muu soveltuva tutkinto taikka aiempi opettajan tai säestäjän kelpoisuus</t>
  </si>
  <si>
    <t>40507040 Lasten ja nuorten taidekoulun tuntiopettaja</t>
  </si>
  <si>
    <t>40601001 Kansalaisopistojen rehtori</t>
  </si>
  <si>
    <t>40602002 Kansalaisopistojen apulaisrehtori</t>
  </si>
  <si>
    <t>40604008 Kansalaisopistojen suunnittelijaopettaja/ykkt</t>
  </si>
  <si>
    <t>40604009 Kansalaisopistojen suunnittelijaopettaja/muu</t>
  </si>
  <si>
    <t>40604006 Kansalaisopiston opettaja/ykkt</t>
  </si>
  <si>
    <t>40604007 Kansalaisopiston opettaja/muu tutk.</t>
  </si>
  <si>
    <t>40607033 Kansalaisopiston tuntiopettaja</t>
  </si>
  <si>
    <t>Sivut tuntipalkkio</t>
  </si>
  <si>
    <t>I &amp; II</t>
  </si>
  <si>
    <t>vain tuntipalkkio</t>
  </si>
  <si>
    <t>aikk</t>
  </si>
  <si>
    <t>Palveluvuosia</t>
  </si>
  <si>
    <t xml:space="preserve"> 4. Valitse vuosien lkm:</t>
  </si>
  <si>
    <t>MUUT LISÄT:</t>
  </si>
  <si>
    <t>+ Muut lisät yht.</t>
  </si>
  <si>
    <t>Peruskoulun kokonaistyöajassa oleva apulaisrehtori (osio B 5 §)</t>
  </si>
  <si>
    <t>Lukion kokonaistyöajassa oleva apulaisrehtori (osio B 5 §)</t>
  </si>
  <si>
    <t>Lukion rehtori (osio B 4 §)</t>
  </si>
  <si>
    <t>Aikuislukion rehtori (osio B 4 §)</t>
  </si>
  <si>
    <t>Peruskoulun oppilaanohjaaja (osio B 6 §)</t>
  </si>
  <si>
    <t>Kansanopiston tuntiopettaja</t>
  </si>
  <si>
    <t xml:space="preserve">Soveltuva ylempi korkeakoulututkinto tai soveltuva ylempi ammattikorkeakoulututkinto </t>
  </si>
  <si>
    <t>Soveltuva ammattikorkeakoulututkinto, konservatorion jatkotutkinto tai aiempi lehtorin kelpoisuus</t>
  </si>
  <si>
    <t>PERUSPALKKA:</t>
  </si>
  <si>
    <t>3. Syötä alennus-%, jos ei kelpoisuutta</t>
  </si>
  <si>
    <t>40301101 Peruskoulu -  Vuosiluokkia 1–6 käsittävän koulun rehtori, 12–23 palkkaperusteryhmää</t>
  </si>
  <si>
    <t>40301201 Peruskoulu -  Vuosiluokkia 1–6 käsittävän koulun rehtori, 24–30 palkkaperusteryhmää</t>
  </si>
  <si>
    <t>40301102 Peruskoulu -  Vuosiluokkien 7–9 käsittävän koulun rehtori, –6 palkkaperusteryhmää</t>
  </si>
  <si>
    <t>40301202 Peruskoulu -  Vuosiluokkia 7–9 käsittävän koulun rehtori, 7–14 palkkaperusteryhmää</t>
  </si>
  <si>
    <t>40301302 Peruskoulu -  Vuosiluokkia 7–9 käsittävän koulun rehtori, 15–19 palkkaperusteryhmää</t>
  </si>
  <si>
    <t>40301103 Peruskoulu -  Erityiskoulun rehtori, 6–11 palkkaperusteryhmää</t>
  </si>
  <si>
    <t>40301203 Peruskoulu -  Erityiskoulun rehtori, 12–20 palkkaperusteryhmää</t>
  </si>
  <si>
    <t>40301303 Peruskoulu -  Erityiskoulun rehtori, 21–25 palkkaperusteryhmää</t>
  </si>
  <si>
    <t>40301403 Peruskoulu -  Erityiskoulun rehtori, 26– palkkaperusteryhmää</t>
  </si>
  <si>
    <t>40302000 Peruskoulu -  Peruskoulun kokonaistyöajassa oleva apulaisrehtori (osio B 5 §)</t>
  </si>
  <si>
    <t>40402000 Lukio -  Lukion kokonaistyöajassa oleva apulaisrehtori (osio B 5 §)</t>
  </si>
  <si>
    <t>40401005 Lukio -  Lukion rehtori (osio B 4 §)</t>
  </si>
  <si>
    <t>40401011 Aikuislukio -  Aikuislukion rehtori (osio B 4 §)</t>
  </si>
  <si>
    <t>40304066 Peruskoulu -  Peruskoulun oppilaanohjaaja (osio B 6 §)</t>
  </si>
  <si>
    <t>40304067 Peruskoulu -  Peruskoulun oppilaanohjaaja, ei kelpoisuutta (osio B 6 § 2 mom.)</t>
  </si>
  <si>
    <t>40304005 Peruskoulu -  Lehtori/ylempi korkeakoulututkinto ja perus-/lukio-opetusta antavan opettajan kelpoisuus tai aiempi vanhemman lehtorin kelpoisuus</t>
  </si>
  <si>
    <t>40304007 Peruskoulu -  Lehtori/muu kuin em. perus-, aineen-, luokan- tai erityisopetuksen opettajan kelpoisuus</t>
  </si>
  <si>
    <t>40304008 Peruskoulu -  Lehtori/ylempi korkeakoulututkinto</t>
  </si>
  <si>
    <t>40304009 Peruskoulu -  Lehtori/korkeakoulututkinto</t>
  </si>
  <si>
    <t>40304010 Peruskoulu -  Lehtori/muu kuin edellä mainittu</t>
  </si>
  <si>
    <t>40304012 Peruskoulu -  Erityisopetuksen opettaja/ylempi korkeakoulututkinto ja erityisopetusta antavan opettajan kelpoisuus</t>
  </si>
  <si>
    <t>40304014 Peruskoulu -  Erityisopetuksen opettaja/alempi korkeakoulututkinto ja erityisopetusta antavan opettajan kelpoisuus</t>
  </si>
  <si>
    <t>40304013 Peruskoulu -  Erityisopetuksen opettaja/erityisopetusta antavan opettajan kelpoisuus</t>
  </si>
  <si>
    <t>40304015 Peruskoulu -  Erityisopetuksen opettaja/ylempi korkeakoulututkinto ja perus/lukio-opetusta antavan opettajan kelpoisuus</t>
  </si>
  <si>
    <t>40304016 Peruskoulu -  Vaikeimmin kehitysvammaisille (EHA 2) annettavan opetuksen erityisopettajan kelpoisuus tai perus-/lukio-opetusta antavan opettajan kelpoisuus</t>
  </si>
  <si>
    <t>40304017 Peruskoulu -  Erityisopetuksen opettaja/muu kuin edellä mainittu</t>
  </si>
  <si>
    <t>40304028 Peruskoulu -  Luokanopettaja/luokanopettajan kelpoisuus, ylempi korkeakoulututkinto,  aineenopettajan kelpoisuus jossakin peruskoulussa yhteisenä opetettavassa aineessa</t>
  </si>
  <si>
    <t>40304030 Peruskoulu -  Luokanopettaja/ylempi korkeakoulututkinto ja perus-/lukio-opetusta antavan opettajan kelpoisuus</t>
  </si>
  <si>
    <t>40304031 Peruskoulu -  Luokanopettaja/perus-/lukio-opetusta antavan opettajan kelpoisuus</t>
  </si>
  <si>
    <t>40304033 Peruskoulu -  Luokanopettaja/muu kuin edellä mainittu</t>
  </si>
  <si>
    <t>40304020 Peruskoulu -  Esiluokanopettaja/ylempi korkeakoulututkinto ja perus-/lukio-opetusta antavan opettajan kelpoisuus</t>
  </si>
  <si>
    <t>40304021 Peruskoulu -  Esiluokanopettaja/asetuksen 986/1998 7 §:n mukainen kelpoisuus</t>
  </si>
  <si>
    <t>40304022 Peruskoulu -  Esiluokanopettaja/muu kuin edellä mainittu</t>
  </si>
  <si>
    <t xml:space="preserve">40307038 Peruskoulu -  Vuosiluokkien 7–9 tuntiopettaja/ylempi korkeakoulututkinto ja perus-/lukio-opetusta antavan opettajan kelpoisuus tai aiempi vanhemman lehtorin kelpoisuus  </t>
  </si>
  <si>
    <t>40307040 Peruskoulu -  Vuosiluokkien 7–9 tuntiopettaja/muu kuin em. perus-, aineen-, luokan- tai erityisopetuksen opettajan kelpoisuus</t>
  </si>
  <si>
    <t>40307041 Peruskoulu -  Vuosiluokkien 7–9 tuntiopettaja/ylempi korkeakoulututkinto</t>
  </si>
  <si>
    <t>40307042 Peruskoulu -  Vuosiluokkien 7–9 tuntiopettaja/korkeakoulututkinto</t>
  </si>
  <si>
    <t>40307043 Peruskoulu -  Vuosiluokkien 7–9 tuntiopettaja/muu kuin edellä mainittu</t>
  </si>
  <si>
    <t>40307044 Peruskoulu -  Erityisopetuksen tuntiopettaja/ylempi korkeakoulututkinto ja erityisopettajan kelpoisuus</t>
  </si>
  <si>
    <t>40307046 Peruskoulu -  Erityisopetuksen tuntiopettaja/alempi korkeakoulututkinto ja erityisopettajan kelpoisuus</t>
  </si>
  <si>
    <t>40307045 Peruskoulu -  Erityisopetuksen tuntiopettaja/erityisopettajan kelpoisuus</t>
  </si>
  <si>
    <t>40307047 Peruskoulu -  Erityisopetuksen tuntiopettaja/ylempi korkeakoulututkinto ja perus/lukio-opetusta antavan opettajan kelpoisuus</t>
  </si>
  <si>
    <t>40307048 Peruskoulu -  Vaikeimmin kehitysvammaisille (EHA 2) annettavan opetuksen erityisopettajan kelpoisuus tai perus-/lukio-opetusta antavan opettajan kelpoisuus.</t>
  </si>
  <si>
    <t>40307049 Peruskoulu -  Erityisopetuksen tuntiopettaja/muu kuin edellä mainittu</t>
  </si>
  <si>
    <t>40307054 Peruskoulu -  Vuosiluokkien 1–6 tuntiopettaja/luokanopettajan kelpoisuus, ylempi korkeakoulututkinto ja aineenopettajan kelpoisuus jossakin peruskoulussa  yhteisenä opetettavassa aineessa</t>
  </si>
  <si>
    <t>40307056 Peruskoulu -  Vuosiluokkien 1–6 tuntiopettaja/ylempi korkeakoulututkinto ja perus-/lukio-opetusta antavan opettajan kelpoisuus</t>
  </si>
  <si>
    <t>40307057 Peruskoulu -  Vuosiluokkien 1–6 tuntiopettaja/perus-/lukio-opetusta antavan opettajan kelpoisuus</t>
  </si>
  <si>
    <t>40307059 Peruskoulu -  Vuosiluokkien 1–6 tuntiopettaja/muu kuin edellä mainittu</t>
  </si>
  <si>
    <t>40307062 Peruskoulu -  Esiopetuksen tuntiopettaja/ylempi korkeakoulututkinto ja perus-/lukio-opetusta antavan opettajan kelpoisuus</t>
  </si>
  <si>
    <t>40307063 Peruskoulu -  Esiopetuksen tuntiopettaja/asetuksen 986/1998 7 §:n mukainen kelpoisuus</t>
  </si>
  <si>
    <t>40307064 Peruskoulu -  Esiopetuksen tuntiopettaja/muu kuin edellä mainittu</t>
  </si>
  <si>
    <t>40404017 Lukio -  Lehtori/ylempi korkeakoulututkinto ja lukio-opetusta antavan opettajan kelpoisuus tai aiempi vanhemman lehtorin kelpoisuus</t>
  </si>
  <si>
    <t>40404018 Lukio -  Lehtori/aiempi lukio-opetusta antavan opettajan kelpoisuus tai perusopetusta antavan opettajan kelpoisuus</t>
  </si>
  <si>
    <t>40404022 Lukio -  Lehtori/korkeakoulututkinto</t>
  </si>
  <si>
    <t>40404023 Lukio -  Lehtori/muu kuin edellä mainittu tutkinto</t>
  </si>
  <si>
    <t>40407037 Lukio -  Tuntiopettaja/ylempi korkeakoulututkinto ja lukio-opetusta antavan opettajan kelpoisuus tai aiempi vanhemman lehtorin kelpoisuus</t>
  </si>
  <si>
    <t>40407039 Lukio -  Tuntiopettaja/aiempi  lukio-opetusta antavan opettajan kelpoisuus tai perusopetusta antavan opettajan kelpoisuus</t>
  </si>
  <si>
    <t>40407042 Lukio -  Tuntiopettaja/korkeakoulututkinto</t>
  </si>
  <si>
    <t>40407041 Lukio -  Tuntiopettaja/muu kuin edellä mainittu tutkinto</t>
  </si>
  <si>
    <t>40404024 Aikuislukio -  Aikuislukion ja aikuislinjan lehtori/ylempi korkeakoulututkinto ja lukio-opetusta antavan opettajan kelpoisuus tai aiempi vanhemman lehtorin kelpoisuus</t>
  </si>
  <si>
    <t>40404025 Aikuislukio -  Aikuislukion ja aikuislinjan lehtori/aiempi lukio-opetusta antavan tai muu aikuislukion opettajan kelpoisuus taikka perusopetusta antavan opettajan kelpoisuus</t>
  </si>
  <si>
    <t>40404027 Aikuislukio -  Aikuislukion ja aikuislinjan lehtori/korkeakoulututkinto</t>
  </si>
  <si>
    <t>40404026 Aikuislukio -  Aikuislukion ja aikuislinjan lehtori/muu kuin edellä mainittu</t>
  </si>
  <si>
    <t>40407050 Aikuislukio -  Tuntiopettaja/ylempi korkeakoulututkinto ja lukio-opetusta antavan opettajan kelpoisuus tai aiempi vanhemman lehtorin kelpoisuus</t>
  </si>
  <si>
    <t>40407051 Aikuislukio -  Tuntiopettaja/aiempi lukio-opetusta antavan tai muu aikuislukion opettajan kelpoisuus taikka perusopetusta antavan opettajan kelpoisuus</t>
  </si>
  <si>
    <t>40407053 Aikuislukio -  Tuntiopettaja/korkeakoulututkinto</t>
  </si>
  <si>
    <t>40407054 Aikuislukio -  Tuntiopettaja/muu kuin edellä mainittu</t>
  </si>
  <si>
    <t>40901024 Ammatilliset oppil. -  Rehtori</t>
  </si>
  <si>
    <t>40003001 Ammatilliset oppil. -  Apulaisrehtori ja aikuiskoulutusjohtaja/ylempi korkeakoulututkinto</t>
  </si>
  <si>
    <t>40003002 Ammatilliset oppil. -  Apulaisrehtori ja aikuiskoulutusjohtaja/muu tutkinto</t>
  </si>
  <si>
    <t>40801002 Musiikkioppil. -  Rehtori</t>
  </si>
  <si>
    <t>40802005 Musiikkioppil. -  Apulaisrehtori</t>
  </si>
  <si>
    <t>40804012 Musiikkioppil. -  Opettaja/soveltuva ylempi korkeakoulututkinto tai soveltuva ylempi ammattikorkeakoulututkinto</t>
  </si>
  <si>
    <t>40804014 Musiikkioppil. -  Opettaja/soveltuva ammattikorkeakoulututkinto, konservatorion jatkotutkinto tai aiempi lehtorin kelpoisuus</t>
  </si>
  <si>
    <t>40804013 Musiikkioppil. -  Opettaja/muu tutkinto tai aiempi opettajan tai säestäjän kelpoisuus</t>
  </si>
  <si>
    <t>40804008 Musiikkioppil. -  Ammatillisen koulutuksen opettaja</t>
  </si>
  <si>
    <t>40807026 Musiikkioppil. -  Tuntiopettaja/soveltuva ylempi korkeakoulututkinto tai soveltuva ylempi ammattikorkeakoulututkinto</t>
  </si>
  <si>
    <t>40807028 Musiikkioppil. -  Tuntiopettaja/soveltuva ammattikorkeakoulututkinto, konservatorion jatkotutkinto tai aiempi lehtorin kelpoisuus</t>
  </si>
  <si>
    <t>40807027 Musiikkioppil. -  Tuntiopettaja/muu soveltuva tutkinto tai aiempi opettajan tai säestäjän tutkinto</t>
  </si>
  <si>
    <t xml:space="preserve">40807029 Musiikkioppil. -  Musiikkioppil. sivutoiminen tuntiop/soveltuva ylempi korkeakoulututkinto </t>
  </si>
  <si>
    <t>40807030 Musiikkioppil. -  Musiikkioppil. sivutoiminen tuntiop/soveltuva ammattikorkeakoulututkinto, konservatorion jatkotutkinto tai aiempi lehtorin kelpoisuus</t>
  </si>
  <si>
    <t>40807031 Musiikkioppil. -  Musiikkioppil. sivutoiminen tuntiop/muu soveltuva tutkinto taikka aiempi opettajan tai säestäjän kelpoisuus</t>
  </si>
  <si>
    <t>40501001 Lasten ja nuorten taidekoulu -  Rehtori/taideteollisessa korkeakoulussa tai muussa korkeakoulussa suoritettu soveltuva ylempi korkeakoulututkinto</t>
  </si>
  <si>
    <t>40501002 Lasten ja nuorten taidekoulu -  Rehtori/taideteollisessa korkeakoulussa tai taideteollisessa oppilaitoksessa suoritettu kuvaamataidon opettajan tutkinto</t>
  </si>
  <si>
    <t>40504004 Lasten ja nuorten taidekoulu -  Taidekoulun opettaja vaihtoehto 1</t>
  </si>
  <si>
    <t>40504005 Lasten ja nuorten taidekoulu -  Taidekoulun opettaja vaihtoehto 2</t>
  </si>
  <si>
    <t>40507040 Lasten ja nuorten taidekoulu -  Lasten ja nuorten taidekoulun tuntiopettaja</t>
  </si>
  <si>
    <t>40601001 Kansalaisopisto -  Rehtori</t>
  </si>
  <si>
    <t>40602002 Kansalaisopisto -  Apulaisrehtori</t>
  </si>
  <si>
    <t>40604008 Kansalaisopisto -  Suunnittelijaopettaja/soveltuva ylempi korkeakoulututkinto tai soveltuva ylempi ammattikorkeakoulututkinto</t>
  </si>
  <si>
    <t>40604009 Kansalaisopisto -  Suunnittelijaopettaja/muu tutkinto tai erivapaus kansalaisopistonopettajan virkaan</t>
  </si>
  <si>
    <t>40604006 Kansalaisopisto -  Opettaja/soveltuva ylempi korkeakoulututkinto tai soveltuva ylempi ammattikorkeakoulututkinto</t>
  </si>
  <si>
    <t>40604007 Kansalaisopisto -  Opettaja/muu soveltuva tutkinto tai erivapaus kansalaisopistonopettajan virkaan</t>
  </si>
  <si>
    <t>40607033 Kansalaisopisto -  Kansalaisopiston tuntiopettaja</t>
  </si>
  <si>
    <t>40701011 Kansanopisto -  Rehtori</t>
  </si>
  <si>
    <t>40704021 Kansanopisto -  Opettaja/soveltuva ylempi korkeakoulututkinto (vaihtoehto 2)</t>
  </si>
  <si>
    <t>40704022 Kansanopisto -  Opettaja/soveltuva alempi korkeakoulututkinto (vaihtoehto 2)</t>
  </si>
  <si>
    <t>40704023 Kansanopisto -  Opettaja/muu tutkinto (vaihtoehto 2)</t>
  </si>
  <si>
    <t>40707033 Kansanopisto -  Kansanopiston tuntiopettaja</t>
  </si>
  <si>
    <t>Ammatillinen vuosityöaika (Osio C liite 1)</t>
  </si>
  <si>
    <t>8 vuotta palvelua</t>
  </si>
  <si>
    <t>5 vuotta palvelua</t>
  </si>
  <si>
    <t>20 vuotta palvelua</t>
  </si>
  <si>
    <t>41103004 Opinto-ohjaaja/muu tutkinto</t>
  </si>
  <si>
    <t>41104001 Lehtori/soveltuva ylempi korkeakoulututkinto tai soveltuva ylempi ammattikorkeakoulututkinto</t>
  </si>
  <si>
    <t>41104002 Lehtori/soveltuva korkeakoulututkinto, insinöörin tai rakennusarkkitehdin tutkinto</t>
  </si>
  <si>
    <t>41104003 Lehtori/soveltuva opistoasteen tutkinto</t>
  </si>
  <si>
    <t>41104004 Lehtori/muu soveltuvat tutkinto tai koulutus</t>
  </si>
  <si>
    <t>41107001 Tuntiopettaja/soveltuva ylempi korkeakoulututkinto tai soveltuva ylempi ammattikorkeakoulututkinto</t>
  </si>
  <si>
    <t>41107002 Tuntiopettaja/soveltuva korkeakoulututkinto, insinöörin tai rakennusarkkitehdin tutkinto</t>
  </si>
  <si>
    <t>41107003 Tuntiopettaja/soveltuva opistoasteen tutkinto</t>
  </si>
  <si>
    <t>41107004 Tuntiopettaja/muu soveltuva tutkinto tai koulutus</t>
  </si>
  <si>
    <t xml:space="preserve">  Vähimmäispalkka</t>
  </si>
  <si>
    <t xml:space="preserve">Lukion opinto-ohjaaja (osio B 6a § 1 mom.) </t>
  </si>
  <si>
    <t>Lukion opinto-ohjaaja, ei kelpoisuutta (osio B 6a § 2 mom.)</t>
  </si>
  <si>
    <t>Osio C 1</t>
  </si>
  <si>
    <t>40301301 Peruskoulu -  Vuosiluokkia 1–6 käsittävän koulun rehtori, 31–37 palkkaperusteryhmää</t>
  </si>
  <si>
    <t>40301401 Peruskoulu -  Vuosiluokkia 1–6 käsittävän koulun rehtori, 38– palkkaperusteryhmää</t>
  </si>
  <si>
    <t>40301401 Ala-asteen rehtori, 38-</t>
  </si>
  <si>
    <t>40301301 Ala-asteen rehtori, 31-37</t>
  </si>
  <si>
    <t>40301402 Yläasteen rehtori, 20-24</t>
  </si>
  <si>
    <t>+ Työajan ylityskorvaukset alle 1700 t</t>
  </si>
  <si>
    <t>+ Työajan ylityskorvaukset yli 1700 t</t>
  </si>
  <si>
    <t>8. Syötä työajan ylityskorvausten tunnit alle 1700 t:</t>
  </si>
  <si>
    <t>40301402 Peruskoulu -  Vuosiluokkia 7–9 käsittävän koulun rehtori, 20–24</t>
  </si>
  <si>
    <t>TEHTÄVÄKOHTAINEN PALKKA:</t>
  </si>
  <si>
    <t>9. Syötä työajan ylityskorvauksten tunnit yli 1700 t:</t>
  </si>
  <si>
    <t>OSIO C Liite 1</t>
  </si>
  <si>
    <t>OSIO C Liite 1 Ammatillisen oppilaitoksen opetushenkilöstö</t>
  </si>
  <si>
    <t>10. Syötä ilta-, yö-, arkipyhä- ja viikonlopputyön t:</t>
  </si>
  <si>
    <t>Vuosiluokkia 1–6 käsittävän koulun rehtori, 12–23 palkkaperusteryhmää</t>
  </si>
  <si>
    <t>Vuosiluokkia 1–6 käsittävän koulun rehtori, 24–30 palkkaperusteryhmää</t>
  </si>
  <si>
    <t>Vuosiluokkia 1–6 käsittävän koulun rehtori, 31– 37 palkkaperusteryhmää</t>
  </si>
  <si>
    <t>Vuosiluokkia 1–6 käsittävän koulun rehtori, 38– palkkaperusteryhmää</t>
  </si>
  <si>
    <t>Vuosiluokkien 7–9 käsittävän koulun rehtori, –6 palkkaperusteryhmää</t>
  </si>
  <si>
    <t>Vuosiluokkia 7–9 käsittävän koulun rehtori, 7–14 palkkaperusteryhmää</t>
  </si>
  <si>
    <t>Vuosiluokkia 7–9 käsittävän koulun rehtori, 15–19 palkkaperusteryhmää</t>
  </si>
  <si>
    <t>Vuosiluokkia 7–9 käsittävän koulun rehtori, 20–24 palkkaperusteryhmää</t>
  </si>
  <si>
    <t>Vuosiluokkia 7–9 käsittävän koulun rehtori, 25– palkkaperusteryhmää</t>
  </si>
  <si>
    <t>Erityiskoulun rehtori, 6–11 palkkaperusteryhmää</t>
  </si>
  <si>
    <t>Erityiskoulun rehtori, 12–20 palkkaperusteryhmää</t>
  </si>
  <si>
    <t>Erityiskoulun rehtori, 21–25 palkkaperusteryhmää</t>
  </si>
  <si>
    <t>Erityiskoulun rehtori, 26– palkkaperusteryhmää</t>
  </si>
  <si>
    <t>Peruskoulun oppilaanohjaaja, ei kelpoisuutta (osio B 6 § 2 mom.)</t>
  </si>
  <si>
    <t>Lehtori/ylempi korkeakoulututkinto ja perus-/lukio-opetusta antavan opettajan kelpoisuus tai aiempi vanhemman lehtorin kelpoisuus</t>
  </si>
  <si>
    <t>Lehtori/muu kuin em. perus-, aineen-, luokan- tai erityisopetuksen opettajan kelpoisuus</t>
  </si>
  <si>
    <t>Lehtori/ylempi korkeakoulututkinto</t>
  </si>
  <si>
    <t>Lehtori/korkeakoulututkinto</t>
  </si>
  <si>
    <t>Lehtori/muu kuin edellä mainittu</t>
  </si>
  <si>
    <t>Erityisopetuksen opettaja/ylempi korkeakoulututkinto ja erityisopetusta antavan opettajan kelpoisuus</t>
  </si>
  <si>
    <t>Erityisopetuksen opettaja/alempi korkeakoulututkinto ja erityisopetusta antavan opettajan kelpoisuus</t>
  </si>
  <si>
    <t>Erityisopetuksen opettaja/erityisopetusta antavan opettajan kelpoisuus</t>
  </si>
  <si>
    <t>Erityisopetuksen opettaja/ylempi korkeakoulututkinto ja perus/lukio-opetusta antavan opettajan kelpoisuus</t>
  </si>
  <si>
    <t>Vaikeimmin kehitysvammaisille (EHA 2) annettavan opetuksen erityisopettajan kelpoisuus tai perus-/lukio-opetusta antavan opettajan kelpoisuus</t>
  </si>
  <si>
    <t>Erityisopetuksen opettaja/muu kuin edellä mainittu</t>
  </si>
  <si>
    <t>Luokanopettaja/luokanopettajan kelpoisuus, ylempi korkeakoulututkinto,  aineenopettajan kelpoisuus jossakin peruskoulussa yhteisenä opetettavassa aineessa</t>
  </si>
  <si>
    <t>Luokanopettaja/ylempi korkeakoulututkinto ja perus-/lukio-opetusta antavan opettajan kelpoisuus</t>
  </si>
  <si>
    <t>Luokanopettaja/perus-/lukio-opetusta antavan opettajan kelpoisuus</t>
  </si>
  <si>
    <t>Luokanopettaja/muu kuin edellä mainittu</t>
  </si>
  <si>
    <t>Esiluokanopettaja/ylempi korkeakoulututkinto ja perus-/lukio-opetusta antavan opettajan kelpoisuus</t>
  </si>
  <si>
    <t>Esiluokanopettaja/asetuksen 986/1998 7 §:n mukainen kelpoisuus</t>
  </si>
  <si>
    <t xml:space="preserve">Vuosiluokkien 7–9 tuntiopettaja/ylempi korkeakoulututkinto ja perus-/lukio-opetusta antavan opettajan kelpoisuus tai aiempi vanhemman lehtorin kelpoisuus  </t>
  </si>
  <si>
    <t>Vuosiluokkien 7–9 tuntiopettaja/muu kuin em. perus-, aineen-, luokan- tai erityisopetuksen opettajan kelpoisuus</t>
  </si>
  <si>
    <t>Vuosiluokkien 7–9 tuntiopettaja/ylempi korkeakoulututkinto</t>
  </si>
  <si>
    <t>Vuosiluokkien 7–9 tuntiopettaja/korkeakoulututkinto</t>
  </si>
  <si>
    <t>Vuosiluokkien 7–9 tuntiopettaja/muu kuin edellä mainittu</t>
  </si>
  <si>
    <t>Erityisopetuksen tuntiopettaja/ylempi korkeakoulututkinto ja erityisopettajan kelpoisuus</t>
  </si>
  <si>
    <t>Erityisopetuksen tuntiopettaja/alempi korkeakoulututkinto ja erityisopettajan kelpoisuus</t>
  </si>
  <si>
    <t>Erityisopetuksen tuntiopettaja/erityisopettajan kelpoisuus</t>
  </si>
  <si>
    <t>Erityisopetuksen tuntiopettaja/ylempi korkeakoulututkinto ja perus/lukio-opetusta antavan opettajan kelpoisuus</t>
  </si>
  <si>
    <t>Vaikeimmin kehitysvammaisille (EHA 2) annettavan opetuksen erityisopettajan kelpoisuus tai perus-/lukio-opetusta antavan opettajan kelpoisuus.</t>
  </si>
  <si>
    <t>Erityisopetuksen tuntiopettaja/muu kuin edellä mainittu</t>
  </si>
  <si>
    <t>Vuosiluokkien 1–6 tuntiopettaja/luokanopettajan kelpoisuus, ylempi korkeakoulututkinto ja aineenopettajan kelpoisuus jossakin peruskoulussa  yhteisenä opetettavassa aineessa</t>
  </si>
  <si>
    <t>Vuosiluokkien 1–6 tuntiopettaja/ylempi korkeakoulututkinto ja perus-/lukio-opetusta antavan opettajan kelpoisuus</t>
  </si>
  <si>
    <t>Vuosiluokkien 1–6 tuntiopettaja/perus-/lukio-opetusta antavan opettajan kelpoisuus</t>
  </si>
  <si>
    <t>Vuosiluokkien 1–6 tuntiopettaja/muu kuin edellä mainittu</t>
  </si>
  <si>
    <t>Esiopetuksen tuntiopettaja/ylempi korkeakoulututkinto ja perus-/lukio-opetusta antavan opettajan kelpoisuus</t>
  </si>
  <si>
    <t>Esiopetuksen tuntiopettaja/asetuksen 986/1998 7 §:n mukainen kelpoisuus</t>
  </si>
  <si>
    <t>Lehtori/ylempi korkeakoulututkinto ja lukio-opetusta antavan opettajan kelpoisuus tai aiempi vanhemman lehtorin kelpoisuus</t>
  </si>
  <si>
    <t>Lehtori/aiempi lukio-opetusta antavan opettajan kelpoisuus tai perusopetusta antavan opettajan kelpoisuus</t>
  </si>
  <si>
    <t>Lehtori/muu kuin edellä mainittu tutkinto</t>
  </si>
  <si>
    <t>Tuntiopettaja/ylempi korkeakoulututkinto ja lukio-opetusta antavan opettajan kelpoisuus tai aiempi vanhemman lehtorin kelpoisuus</t>
  </si>
  <si>
    <t>Tuntiopettaja/aiempi  lukio-opetusta antavan opettajan kelpoisuus tai perusopetusta antavan opettajan kelpoisuus</t>
  </si>
  <si>
    <t>Tuntiopettaja/korkeakoulututkinto</t>
  </si>
  <si>
    <t>Tuntiopettaja/muu kuin edellä mainittu tutkinto</t>
  </si>
  <si>
    <t>Aikuislukion ja aikuislinjan lehtori/ylempi korkeakoulututkinto ja lukio-opetusta antavan opettajan kelpoisuus tai aiempi vanhemman lehtorin kelpoisuus</t>
  </si>
  <si>
    <t>Aikuislukion ja aikuislinjan lehtori/aiempi lukio-opetusta antavan tai muu aikuislukion opettajan kelpoisuus taikka perusopetusta antavan opettajan kelpoisuus</t>
  </si>
  <si>
    <t>Aikuislukion ja aikuislinjan lehtori/muu kuin edellä mainittu</t>
  </si>
  <si>
    <t>Tuntiopettaja/aiempi lukio-opetusta antavan tai muu aikuislukion opettajan kelpoisuus taikka perusopetusta antavan opettajan kelpoisuus</t>
  </si>
  <si>
    <t>Tuntiopettaja/muu kuin edellä mainittu</t>
  </si>
  <si>
    <t>Rehtori</t>
  </si>
  <si>
    <t>Apulaisrehtori ja aikuiskoulutusjohtaja/ylempi korkeakoulututkinto</t>
  </si>
  <si>
    <t>Opinto-ohjaaja/ylempi korkeakoulututkinto</t>
  </si>
  <si>
    <t>Lehtori/soveltuva ylempi korkeakoulututkinto tai soveltuva ylempi ammattikorkeakoulututkinto</t>
  </si>
  <si>
    <t>Tuntiopettaja/soveltuva ylempi korkeakoulututkinto tai soveltuva ylempi ammattikorkeakoulututkinto</t>
  </si>
  <si>
    <t>Lehtori/soveltuva korkeakoulututkinto, insinöörin tai rakennusarkkitehdin tutkinto</t>
  </si>
  <si>
    <t>Tuntiopettaja/soveltuva korkeakoulututkinto, insinöörin tai rakennusarkkitehdin tutkinto</t>
  </si>
  <si>
    <t>Lehtori/soveltuva opistoasteen tutkinto</t>
  </si>
  <si>
    <t>Tuntiopettaja/soveltuva opistoasteen tutkinto</t>
  </si>
  <si>
    <t>Lehtori/muu soveltuvat tutkinto tai koulutus</t>
  </si>
  <si>
    <t>Tuntiopettaja/muu soveltuva tutkinto tai koulutus</t>
  </si>
  <si>
    <t>Apulaisrehtori</t>
  </si>
  <si>
    <t>Opettaja/soveltuva ylempi korkeakoulututkinto tai soveltuva ylempi ammattikorkeakoulututkinto</t>
  </si>
  <si>
    <t>Opettaja/soveltuva ammattikorkeakoulututkinto, konservatorion jatkotutkinto tai aiempi lehtorin kelpoisuus</t>
  </si>
  <si>
    <t>Opettaja/muu tutkinto tai aiempi opettajan tai säestäjän kelpoisuus</t>
  </si>
  <si>
    <t>Ammatillisen koulutuksen opettaja</t>
  </si>
  <si>
    <t>Tuntiopettaja/soveltuva ammattikorkeakoulututkinto, konservatorion jatkotutkinto tai aiempi lehtorin kelpoisuus</t>
  </si>
  <si>
    <t>Tuntiopettaja/muu soveltuva tutkinto tai aiempi opettajan tai säestäjän tutkinto</t>
  </si>
  <si>
    <t>Rehtori/taideteollisessa korkeakoulussa tai muussa korkeakoulussa suoritettu soveltuva ylempi korkeakoulututkinto</t>
  </si>
  <si>
    <t>Rehtori/taideteollisessa korkeakoulussa tai taideteollisessa oppilaitoksessa suoritettu kuvaamataidon opettajan tutkinto</t>
  </si>
  <si>
    <t>Taidekoulun opettaja vaihtoehto 1</t>
  </si>
  <si>
    <t>Taidekoulun opettaja vaihtoehto 2</t>
  </si>
  <si>
    <t>Opettaja/muu soveltuva tutkinto tai erivapaus kansalaisopistonopettajan virkaan</t>
  </si>
  <si>
    <t>Suunnittelijaopettaja/soveltuva ylempi korkeakoulututkinto tai soveltuva ylempi ammattikorkeakoulututkinto</t>
  </si>
  <si>
    <t>Suunnittelijaopettaja/muu tutkinto tai erivapaus kansalaisopistonopettajan virkaan</t>
  </si>
  <si>
    <t>Opettaja/soveltuva ylempi korkeakoulututkinto (vaihtoehto 2)</t>
  </si>
  <si>
    <t>Opettaja/soveltuva alempi korkeakoulututkinto (vaihtoehto 2)</t>
  </si>
  <si>
    <t>Opettaja/muu tutkinto (vaihtoehto 2)</t>
  </si>
  <si>
    <t>liite</t>
  </si>
  <si>
    <t>% rehtorista</t>
  </si>
  <si>
    <t>epäpät %</t>
  </si>
  <si>
    <t>Lukion erityisopettaja (Osio B 6b § 1 mom.)</t>
  </si>
  <si>
    <t xml:space="preserve">Lukion erityisopettaja, ei kelpoisuutta (Osio B 6b § 2 mom.) </t>
  </si>
  <si>
    <t>40404076 Lukion erityisopettaja</t>
  </si>
  <si>
    <t>40404077 Lukion erityisopettaja, ei kelpoisuutta</t>
  </si>
  <si>
    <t>KT/NP</t>
  </si>
  <si>
    <t>41103003 Opinto-ohjaaja/ylempi korkeakoulututkinto ja ylempi ammattikorkeakoulututkinto</t>
  </si>
  <si>
    <t>Osio G</t>
  </si>
  <si>
    <t>Päiväkodin johtaja</t>
  </si>
  <si>
    <t>Varhaiskasvatusyksikön apulaisjohtaja</t>
  </si>
  <si>
    <t>Varhaiskasvatuksen erityisopettaja</t>
  </si>
  <si>
    <t>Varhaiskasvatuksen opettaja</t>
  </si>
  <si>
    <t>45000020 Päiväkodin johtaja</t>
  </si>
  <si>
    <t>45000030 Varhaiskasvatusyksikön apulaisjohtaja</t>
  </si>
  <si>
    <t>45000042 Varhaiskasvatuksen erityisopettaja</t>
  </si>
  <si>
    <t>45000044 Varhaiskasvatuksen opettaja</t>
  </si>
  <si>
    <t>Vuosiluokkia 7–9 käsittävän koulun rehtori, 45– palkkaperusteryhmää</t>
  </si>
  <si>
    <t>Lukion opinto-ohjauksen tuntiopettaja (osio B 6a § 1 mom.)</t>
  </si>
  <si>
    <t>Lukion opinto-ohjauksen tuntiopettaja, ei kelpoisuutta (osio B 6a § 2 mom.)</t>
  </si>
  <si>
    <t>Lukion erityisopetuksen tuntiopettaja (osio B 6b § 1 mom.)</t>
  </si>
  <si>
    <t>Lukion erityisopetuksen tuntiopettaja, ei kelpoisuutta (osio B 6b § 2 mom.)</t>
  </si>
  <si>
    <t>40301602 Peruskoulu - Vuosiluokkia 7–9 käsittävän koulun rehtori, 45– palkkaperusteryhmää</t>
  </si>
  <si>
    <t xml:space="preserve">40404066 Lukion opinto-ohjaaja (osio B 6a § 1 mom.) </t>
  </si>
  <si>
    <t>40404067 Lukion opinto-ohjaaja, ei kelpoisuutta (osio B 6a § 2 mom.)</t>
  </si>
  <si>
    <t>40407066 Lukion opinto-ohjauksen tuntiopettaja (osio B 6a § 1 mom.)</t>
  </si>
  <si>
    <t>40407067 Lukion opinto-ohjauksen tuntiopettaja, ei kelpoisuutta (osio B 6a § 2 mom.)</t>
  </si>
  <si>
    <t>40404076 Lukion erityisopettaja (Osio B 6b § 1 mom.)</t>
  </si>
  <si>
    <t xml:space="preserve">40404077 Lukion erityisopettaja, ei kelpoisuutta (Osio B 6b § 2 mom.) </t>
  </si>
  <si>
    <t>40407076 Lukion erityisopetuksen tuntiopettaja (osio B 6b § 1 mom.)</t>
  </si>
  <si>
    <t>40407077 Lukion erityisopetuksen tuntiopettaja, ei kelpoisuutta (osio B 6b § 2 mom.)</t>
  </si>
  <si>
    <t xml:space="preserve">40301602 Yläasteen rehtori, 45– </t>
  </si>
  <si>
    <t>40301402 Yläasteen rehtori, 25-44</t>
  </si>
  <si>
    <t xml:space="preserve">40407066 Lukion opinto-ohjauksen tuntiopettaja </t>
  </si>
  <si>
    <t>40407067 Lukion opinto-ohjauksen tuntiopettaja, ei kelpoisuutta</t>
  </si>
  <si>
    <t>40404066 Lukion opinto-ohjaaja</t>
  </si>
  <si>
    <t>40404067 Lukion opinto-ohjaaja, ei kelpoisuutta</t>
  </si>
  <si>
    <t>40407076 Lukion erityisopetuksen tuntiopettaja</t>
  </si>
  <si>
    <t>40407077 Lukion erityisopetuksen tuntiopettaja, ei kelpoisuutta</t>
  </si>
  <si>
    <t>Luokanopettaja/korkeakoulututkinto/varhaiskasvatuksen opettajan tutkinto</t>
  </si>
  <si>
    <t>Esiluokanopettaja/erityisesiluokan opettaja jolla erityisvarhaiskasvatuksen opettajan kelpoisuus</t>
  </si>
  <si>
    <t>Vuosiluokkien 1–6 tuntiopettaja/korkeakoulututkinto/varhaiskasvatuksen opettajan tutkinto</t>
  </si>
  <si>
    <t>Esiopetuksen tuntiopettaja/erityisesiluokan opettajan, jolla on erityisvarhaiskasvatuksen opettajan kelpoisuus</t>
  </si>
  <si>
    <t>40301502 Peruskoulu -  Vuosiluokkia 7–9 käsittävän koulun rehtori, 25–44 palkkaperusteryhmää</t>
  </si>
  <si>
    <t>40304098 Peruskoulu -  Luokanopettaja/korkeakoulututkinto/varhaiskasvatuksen opettajan tutkinto</t>
  </si>
  <si>
    <t>40304024 Peruskoulu -  Esiluokanopettaja/erityisesiluokan opettaja jolla erityisvarhaiskasvatuksen opettajan kelpoisuus</t>
  </si>
  <si>
    <t>40307065 Peruskoulu -  Esiopetuksen tuntiopettaja/erityisesiluokan opettajan, jolla on erityisvarhaiskasvatuksen opettajan kelpoisuus</t>
  </si>
  <si>
    <t>40307099 Peruskoulu -  Vuosiluokkien 1–6 tuntiopettaja/korkeakoulututkinto/varhaiskasvatuksen opettajan tutkinto</t>
  </si>
  <si>
    <t>40304098 Peruskoulun luokanopettaja/korkeakoulututk./varhaiskasvatuksen opettajan .tutk.</t>
  </si>
  <si>
    <t>40304024 Erityisesiluokan opettaja jolla erit.varhaiskasvatuksen opettajan kelp.</t>
  </si>
  <si>
    <t>40307065 Esiopetuksen tuntiopettaja/erityisesiluokan opett, erit.varhaiskasvatuksen opettajan. kelp.</t>
  </si>
  <si>
    <t>40307099 Vuosiluokkien 1-6 tuntiopettaja/korkeakoulututk./varhaiskasvatuksen opettajan.tutk.</t>
  </si>
  <si>
    <t>alle 3 vuotta</t>
  </si>
  <si>
    <t>3 vuotta</t>
  </si>
  <si>
    <t>7 vuotta</t>
  </si>
  <si>
    <t>kokemuslisä</t>
  </si>
  <si>
    <t>OSIO A Yleinen osa</t>
  </si>
  <si>
    <t>Peruspalkan</t>
  </si>
  <si>
    <t>%</t>
  </si>
  <si>
    <t>Palkkiot</t>
  </si>
  <si>
    <t>Yksityisoppilaan kuulustelu (25 §)</t>
  </si>
  <si>
    <t>€/kerta</t>
  </si>
  <si>
    <t>OSIO B Yleissivistävän koulun opetushenkilöstön yhteiset määräykset</t>
  </si>
  <si>
    <t>Tehtäväkohtainen palkka</t>
  </si>
  <si>
    <t>Vuosiluokkia 7–9 käsittävän koulun rehtori, 25–44 palkkaperusteryhmää</t>
  </si>
  <si>
    <t>Peruskoulun oppilaanohjaaja (osio B 6 § 1 mom.)</t>
  </si>
  <si>
    <t xml:space="preserve">Lukion erityisopettaja (Osio B 6b § 1 mom.) </t>
  </si>
  <si>
    <t>€/kk</t>
  </si>
  <si>
    <t>Kiertävän opettajan palkkio (18 §)</t>
  </si>
  <si>
    <t>Vuosi-luokkien 1–6 koulu, €/kk</t>
  </si>
  <si>
    <t>Vuosi-luokkien 7–9 koulu tai erityiskoulu €/kk</t>
  </si>
  <si>
    <t>Koulu/oppilaitoskohtainen lisätehtävä, 6–8 palkkaperusteryhmää (19 § 2 mom.)</t>
  </si>
  <si>
    <t>Koulu/oppilaitoskohtainen lisätehtävä, 9-16 palkkaperusteryhmää (19 § 2 mom.)</t>
  </si>
  <si>
    <t>Koulu/oppilaitoskohtainen lisätehtävä, 17–21 palkkaperusteryhmää (19 § 2 mom.)</t>
  </si>
  <si>
    <t>Koulu/oppilaitoskohtainen lisätehtävä, 22–25 palkkaperusteryhmää (19 § 2 mom.)</t>
  </si>
  <si>
    <t>Koulu/oppilaitoskohtainen lisätehtävä, 26–29 palkkaperusteryhmää (19 § 2 mom.)</t>
  </si>
  <si>
    <t>Koulu/oppilaitoskohtainen lisätehtävä, 30–33 palkkaperusteryhmää (19 § 2 mom.)</t>
  </si>
  <si>
    <t>Koulu/oppilaitoskohtainen lisätehtävä, 34– palkkaperusteryhmää (19 § 2 mom.)</t>
  </si>
  <si>
    <t>Koulu/oppilaitoskohtainen lisätehtävä, oppilaita 100–200 (19 § 5 mom.)</t>
  </si>
  <si>
    <t>Koulu/oppilaitoskohtainen lisätehtävä, oppilaita 201–400 (19 § 5 mom.)</t>
  </si>
  <si>
    <t>Koulu/oppilaitoskohtainen lisätehtävä, oppilaita 401–600 (19 § 5 mom.)</t>
  </si>
  <si>
    <t>Koulu/oppilaitoskohtainen lisätehtävä, oppilaita 601– (19 § 5 mom.)</t>
  </si>
  <si>
    <t>Peruskoulu ja aikuislukio</t>
  </si>
  <si>
    <t>Koulu/oppilaitoskohtainen lisätehtävä (19 § 4 ja 6 mom.)</t>
  </si>
  <si>
    <t>OSIO B LIITE 1 Peruskoulu</t>
  </si>
  <si>
    <t>Peruspalkat</t>
  </si>
  <si>
    <t>Esiluokanopettaja/erityisesiluokan opettaja jolla varhaiskasvatuksen erityisopettajan kelpoisuus</t>
  </si>
  <si>
    <t>Vuosiluokkien 1–6 tuntiopettaja/luokanopettajan kelpoisuus, ylempi korkeakoulututkinto ja aineenopettajan kelpoisuus jossakin peruskoulussa yhteisenä opetettavassa aineessa</t>
  </si>
  <si>
    <t>Esiopetuksen tuntiopettaja/erityisesiluokan opettajan, jolla on varhaiskasvatuksen erityisopettajan kelpoisuus</t>
  </si>
  <si>
    <t>Taide- ja taitoaineiden lisät, yhteensä/koulu (23 §)</t>
  </si>
  <si>
    <t>1–2 palkkaperusteryhmää</t>
  </si>
  <si>
    <t>3–8 palkkaperusteryhmää</t>
  </si>
  <si>
    <t>9–  palkkaperusteryhmää</t>
  </si>
  <si>
    <t>OSIO B LIITE 2 Lukio</t>
  </si>
  <si>
    <t>Yksityisopiskelijan kuulustelu (oppiainetta kohden, 9 § 2 mom.)</t>
  </si>
  <si>
    <t>Yksityisopiskelijan kuulustelu (soveltamisohje, 9 § 2 mom.)</t>
  </si>
  <si>
    <t>Yksityisopiskelijan yo-kirjoituksen valmistava tarkistus ja arvostelu (9 § 5 mom.)</t>
  </si>
  <si>
    <t>OSIO B LIITE 3 Aikuislukio</t>
  </si>
  <si>
    <t>Yksityisopiskelijan kuulustelu (oppiainetta kohden, liite 2 9 § 2 mom.)</t>
  </si>
  <si>
    <t>Yksityisopiskelijan osakuulustelu (soveltamisohje, liite 2 9 § 2 mom.)</t>
  </si>
  <si>
    <t>Yksityisopiskelijan yo-kirjoituksen valmistava tarkistus ja arvostelu (liite 2 9 § 5 mom.)</t>
  </si>
  <si>
    <t>OSIO C  Ammatillisen oppilaitoksen opetushenkilöstö</t>
  </si>
  <si>
    <t>Opinto-ohjaaja/ylempi korkeakoulututkinto tai ylempi ammattikorkeakoulututkinto</t>
  </si>
  <si>
    <t>0 vuotta</t>
  </si>
  <si>
    <t xml:space="preserve">Sivutoimisen tuntiopettajan tuntipalkkio </t>
  </si>
  <si>
    <t>€/tunti</t>
  </si>
  <si>
    <t>Soveltuva ylempi korkeakoulututkinto tai soveltuva ylempi ammattikorkeakoulututkinto</t>
  </si>
  <si>
    <t>Soveltuva korkeakoulututkinto, insinöörin tai rakennusarkkitehdin tutkinto</t>
  </si>
  <si>
    <t>Soveltuva opistoasteen tutkinto</t>
  </si>
  <si>
    <t>Muu soveltuva tutkinto tai koulutus</t>
  </si>
  <si>
    <t>OSIO F LIITE 10 Musiikkioppilaitos</t>
  </si>
  <si>
    <t>Peruspalkka</t>
  </si>
  <si>
    <t>Sivutoimisen tuntiopettajan tuntipalkkio</t>
  </si>
  <si>
    <t>4 08 07 02 9</t>
  </si>
  <si>
    <t>4 08 07 03 0</t>
  </si>
  <si>
    <t>4 08 07 03 1</t>
  </si>
  <si>
    <t>OSIO F LIITE 11 Lasten ja nuorten taidekoulu</t>
  </si>
  <si>
    <t>Tuntipalkat</t>
  </si>
  <si>
    <t>4 05 07 04 0</t>
  </si>
  <si>
    <t>OSIO F LIITE 12 Kansalaisopisto</t>
  </si>
  <si>
    <t>4 06 07 03 3</t>
  </si>
  <si>
    <t>Iltaopetuspalkkio (8 §)</t>
  </si>
  <si>
    <t>OSIO F LIITE 13 Kansanopisto</t>
  </si>
  <si>
    <t>4 07 07 03 3</t>
  </si>
  <si>
    <t xml:space="preserve">OSIO G </t>
  </si>
  <si>
    <t>Varhaiskasvatuksen opetushenkilöstö</t>
  </si>
  <si>
    <t xml:space="preserve">Varhaiskasvatuksen erityisopettaja, kasvatustieteiden maisteri </t>
  </si>
  <si>
    <t xml:space="preserve">Varhaiskasvatuksen erityisopettaja, kasvatustieteiden kandidaatti tai muu varhaiskasvatuslain mukainen kelpoisuus </t>
  </si>
  <si>
    <t xml:space="preserve">Varhaiskasvatuksen opettaja, kasvatustieteiden maisteri </t>
  </si>
  <si>
    <t xml:space="preserve">Varhaiskasvatuksen opettaja, kasvatustieteiden kandidaatti tai muu varhaiskasvatuslain mukainen kelpoisuus </t>
  </si>
  <si>
    <t>KVTES Liite 5</t>
  </si>
  <si>
    <t xml:space="preserve">05VKB045 </t>
  </si>
  <si>
    <t>Varhaiskasvatuksen erityisopettaja, muu kuin edellä mainittu</t>
  </si>
  <si>
    <t xml:space="preserve">05VKA045 </t>
  </si>
  <si>
    <t xml:space="preserve">Varhaiskasvatuksen opettaja, muu kuin edellä mainittu </t>
  </si>
  <si>
    <t xml:space="preserve">Peruspalkat 1.6.2023 lukien, e/kk </t>
  </si>
  <si>
    <t>OVTES palkanlaskentaohjelma 1.6.2023 lukien</t>
  </si>
  <si>
    <t>OVTES palkat ja palkkiot 1.6.2024 lukien</t>
  </si>
  <si>
    <t>Yleiskorotus</t>
  </si>
  <si>
    <t>Sivutoiminen tuntiopettaja F-osio</t>
  </si>
  <si>
    <t xml:space="preserve">Vuosiluokkia 7–9 käsittävän koulun rehtori, 45– palkkaperusteryhmää </t>
  </si>
  <si>
    <t xml:space="preserve">Paikallisella sopimuksella käyttöön otettavissa olevat aikuislukion erityisopettajan hinnoittelutunnukset. Yleiskirje 17/2023 </t>
  </si>
  <si>
    <t>Aikuislukion erityisopettaja, lukion erityisopetusta antavan opettajan kelpoisuus</t>
  </si>
  <si>
    <t>Aikuislukion erityisopettaja, ei kelpoisuutta</t>
  </si>
  <si>
    <t>Aikuislukion erityisopetuksen tuntiopettaja, lukion erityisopetusta antavan opettajan kelpoisuus</t>
  </si>
  <si>
    <t>Aikuislukion erityisopetuksen tuntiopettaja, ei kelpoisuutta</t>
  </si>
  <si>
    <t xml:space="preserve">Paikallisella sopimuksella käyttöön otettavissa olevat sairaalakoulun hinnoittelutunnukset. Yleiskirje 25/2023 </t>
  </si>
  <si>
    <t>Sairaalakoulun opettaja, perusopetuksen erityisopetusta antavan opettajan kelpoisuus</t>
  </si>
  <si>
    <t>Sairaalakoulun opettaja, ei kelpoisuutta</t>
  </si>
  <si>
    <t>Sairaalakoulun tuntiopettaja, perusopetuksen erityisopetusta antavan opettajan kelpoisuus</t>
  </si>
  <si>
    <t>Sairaalakoulun tuntiopettaja, ei kelpoisuutta</t>
  </si>
  <si>
    <t>OVTES palkanlaskentaohjelma 1.6.2024 alkaen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</si>
</sst>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000"/>
    <numFmt numFmtId="166" formatCode="0.000\ %"/>
    <numFmt numFmtId="167" formatCode="#&quot; &quot;##&quot; &quot;##&quot; &quot;##&quot; &quot;#"/>
  </numFmts>
  <fonts count="51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u/>
      <sz val="12"/>
      <name val="Arial Narrow"/>
      <family val="2"/>
    </font>
    <font>
      <sz val="8"/>
      <name val="Arial Narrow"/>
      <family val="2"/>
    </font>
    <font>
      <b/>
      <u/>
      <sz val="10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12"/>
      <name val="Arial Narrow"/>
      <family val="2"/>
    </font>
    <font>
      <sz val="8"/>
      <color indexed="81"/>
      <name val="Tahoma"/>
      <family val="2"/>
    </font>
    <font>
      <b/>
      <sz val="9"/>
      <name val="Arial Narrow"/>
      <family val="2"/>
    </font>
    <font>
      <b/>
      <sz val="9"/>
      <color indexed="53"/>
      <name val="Arial Narrow"/>
      <family val="2"/>
    </font>
    <font>
      <b/>
      <sz val="9"/>
      <color indexed="52"/>
      <name val="Arial Narrow"/>
      <family val="2"/>
    </font>
    <font>
      <b/>
      <sz val="8"/>
      <color indexed="16"/>
      <name val="Arial Narrow"/>
      <family val="2"/>
    </font>
    <font>
      <sz val="8"/>
      <color indexed="16"/>
      <name val="MS Sans Serif"/>
      <family val="2"/>
    </font>
    <font>
      <sz val="10"/>
      <color indexed="16"/>
      <name val="MS Sans Serif"/>
      <family val="2"/>
    </font>
    <font>
      <sz val="6"/>
      <color indexed="16"/>
      <name val="Arial Narrow"/>
      <family val="2"/>
    </font>
    <font>
      <sz val="8"/>
      <color indexed="16"/>
      <name val="Arial Narrow"/>
      <family val="2"/>
    </font>
    <font>
      <b/>
      <sz val="8"/>
      <color indexed="14"/>
      <name val="Arial Narrow"/>
      <family val="2"/>
    </font>
    <font>
      <b/>
      <sz val="10"/>
      <color indexed="14"/>
      <name val="MS Sans Serif"/>
      <family val="2"/>
    </font>
    <font>
      <b/>
      <sz val="13"/>
      <name val="Arial"/>
      <family val="2"/>
    </font>
    <font>
      <b/>
      <sz val="11"/>
      <name val="Arial Narrow"/>
      <family val="2"/>
    </font>
    <font>
      <b/>
      <sz val="12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color indexed="9"/>
      <name val="Arial Narrow"/>
      <family val="2"/>
    </font>
    <font>
      <sz val="10"/>
      <color indexed="18"/>
      <name val="Arial Narrow"/>
      <family val="2"/>
    </font>
    <font>
      <b/>
      <sz val="8"/>
      <color indexed="9"/>
      <name val="Arial Narrow"/>
      <family val="2"/>
    </font>
    <font>
      <b/>
      <sz val="10"/>
      <color indexed="18"/>
      <name val="Arial Narrow"/>
      <family val="2"/>
    </font>
    <font>
      <sz val="10"/>
      <color indexed="9"/>
      <name val="MS Sans Serif"/>
      <family val="2"/>
    </font>
    <font>
      <sz val="9"/>
      <name val="MS Sans Serif"/>
      <family val="2"/>
    </font>
    <font>
      <sz val="10"/>
      <color indexed="10"/>
      <name val="Arial Narrow"/>
      <family val="2"/>
    </font>
    <font>
      <b/>
      <sz val="8"/>
      <color indexed="81"/>
      <name val="Tahoma"/>
      <family val="2"/>
    </font>
    <font>
      <b/>
      <sz val="8"/>
      <color indexed="18"/>
      <name val="Arial Narrow"/>
      <family val="2"/>
    </font>
    <font>
      <b/>
      <sz val="10"/>
      <color indexed="18"/>
      <name val="MS Sans Serif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MS Sans Serif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5" tint="-0.249977111117893"/>
      <name val="Arial Narrow"/>
      <family val="2"/>
    </font>
    <font>
      <b/>
      <sz val="8"/>
      <color theme="5" tint="-0.249977111117893"/>
      <name val="Arial Narrow"/>
      <family val="2"/>
    </font>
    <font>
      <sz val="10"/>
      <color theme="5" tint="-0.249977111117893"/>
      <name val="MS Sans Serif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b/>
      <sz val="10"/>
      <name val="Cambria"/>
      <family val="1"/>
    </font>
    <font>
      <sz val="10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42" fillId="0" borderId="0"/>
    <xf numFmtId="0" fontId="43" fillId="0" borderId="0"/>
    <xf numFmtId="9" fontId="1" fillId="0" borderId="0" applyFont="0" applyFill="0" applyBorder="0" applyAlignment="0" applyProtection="0"/>
  </cellStyleXfs>
  <cellXfs count="336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166" fontId="3" fillId="0" borderId="0" xfId="3" applyNumberFormat="1" applyFont="1"/>
    <xf numFmtId="165" fontId="3" fillId="0" borderId="0" xfId="0" applyNumberFormat="1" applyFont="1"/>
    <xf numFmtId="165" fontId="4" fillId="0" borderId="0" xfId="0" applyNumberFormat="1" applyFont="1"/>
    <xf numFmtId="166" fontId="4" fillId="0" borderId="0" xfId="3" applyNumberFormat="1" applyFont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4" fillId="0" borderId="1" xfId="0" applyFont="1" applyBorder="1"/>
    <xf numFmtId="4" fontId="4" fillId="0" borderId="1" xfId="0" applyNumberFormat="1" applyFon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2" borderId="3" xfId="0" applyFont="1" applyFill="1" applyBorder="1"/>
    <xf numFmtId="0" fontId="3" fillId="2" borderId="0" xfId="0" applyFont="1" applyFill="1"/>
    <xf numFmtId="0" fontId="3" fillId="3" borderId="0" xfId="0" applyFont="1" applyFill="1"/>
    <xf numFmtId="0" fontId="4" fillId="4" borderId="4" xfId="0" quotePrefix="1" applyFont="1" applyFill="1" applyBorder="1"/>
    <xf numFmtId="2" fontId="3" fillId="3" borderId="0" xfId="0" applyNumberFormat="1" applyFont="1" applyFill="1"/>
    <xf numFmtId="0" fontId="12" fillId="2" borderId="0" xfId="0" applyFont="1" applyFill="1"/>
    <xf numFmtId="0" fontId="8" fillId="2" borderId="3" xfId="0" applyFont="1" applyFill="1" applyBorder="1"/>
    <xf numFmtId="0" fontId="8" fillId="2" borderId="0" xfId="0" applyFont="1" applyFill="1"/>
    <xf numFmtId="0" fontId="0" fillId="2" borderId="0" xfId="0" applyFill="1"/>
    <xf numFmtId="0" fontId="8" fillId="2" borderId="5" xfId="0" applyFont="1" applyFill="1" applyBorder="1"/>
    <xf numFmtId="0" fontId="3" fillId="2" borderId="2" xfId="0" applyFont="1" applyFill="1" applyBorder="1"/>
    <xf numFmtId="0" fontId="12" fillId="2" borderId="2" xfId="0" applyFont="1" applyFill="1" applyBorder="1"/>
    <xf numFmtId="0" fontId="8" fillId="2" borderId="6" xfId="0" applyFont="1" applyFill="1" applyBorder="1"/>
    <xf numFmtId="0" fontId="3" fillId="4" borderId="5" xfId="0" applyFont="1" applyFill="1" applyBorder="1"/>
    <xf numFmtId="0" fontId="6" fillId="4" borderId="5" xfId="0" applyFont="1" applyFill="1" applyBorder="1"/>
    <xf numFmtId="0" fontId="3" fillId="4" borderId="6" xfId="0" applyFont="1" applyFill="1" applyBorder="1"/>
    <xf numFmtId="2" fontId="3" fillId="4" borderId="7" xfId="0" applyNumberFormat="1" applyFont="1" applyFill="1" applyBorder="1"/>
    <xf numFmtId="0" fontId="3" fillId="0" borderId="3" xfId="0" applyFont="1" applyBorder="1"/>
    <xf numFmtId="0" fontId="3" fillId="0" borderId="8" xfId="0" applyFont="1" applyBorder="1"/>
    <xf numFmtId="0" fontId="3" fillId="0" borderId="9" xfId="0" applyFont="1" applyBorder="1"/>
    <xf numFmtId="0" fontId="8" fillId="2" borderId="9" xfId="0" applyFont="1" applyFill="1" applyBorder="1"/>
    <xf numFmtId="0" fontId="4" fillId="2" borderId="5" xfId="0" applyFont="1" applyFill="1" applyBorder="1"/>
    <xf numFmtId="0" fontId="18" fillId="2" borderId="7" xfId="0" applyFont="1" applyFill="1" applyBorder="1" applyAlignment="1">
      <alignment vertical="top"/>
    </xf>
    <xf numFmtId="0" fontId="12" fillId="2" borderId="10" xfId="0" applyFont="1" applyFill="1" applyBorder="1" applyAlignment="1">
      <alignment vertical="top"/>
    </xf>
    <xf numFmtId="0" fontId="3" fillId="2" borderId="6" xfId="0" applyFont="1" applyFill="1" applyBorder="1"/>
    <xf numFmtId="0" fontId="3" fillId="2" borderId="8" xfId="0" applyFont="1" applyFill="1" applyBorder="1" applyAlignment="1">
      <alignment horizontal="left"/>
    </xf>
    <xf numFmtId="0" fontId="8" fillId="2" borderId="7" xfId="0" applyFont="1" applyFill="1" applyBorder="1"/>
    <xf numFmtId="0" fontId="3" fillId="0" borderId="10" xfId="0" applyFont="1" applyBorder="1"/>
    <xf numFmtId="0" fontId="4" fillId="0" borderId="5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6" xfId="0" applyFont="1" applyBorder="1"/>
    <xf numFmtId="4" fontId="4" fillId="0" borderId="10" xfId="0" applyNumberFormat="1" applyFont="1" applyBorder="1"/>
    <xf numFmtId="0" fontId="3" fillId="4" borderId="0" xfId="0" applyFont="1" applyFill="1"/>
    <xf numFmtId="2" fontId="4" fillId="4" borderId="0" xfId="0" quotePrefix="1" applyNumberFormat="1" applyFont="1" applyFill="1"/>
    <xf numFmtId="0" fontId="3" fillId="4" borderId="11" xfId="0" applyFont="1" applyFill="1" applyBorder="1"/>
    <xf numFmtId="0" fontId="4" fillId="4" borderId="12" xfId="0" applyFont="1" applyFill="1" applyBorder="1"/>
    <xf numFmtId="0" fontId="4" fillId="4" borderId="4" xfId="0" applyFont="1" applyFill="1" applyBorder="1" applyAlignment="1">
      <alignment horizontal="left"/>
    </xf>
    <xf numFmtId="0" fontId="4" fillId="4" borderId="0" xfId="0" quotePrefix="1" applyFont="1" applyFill="1"/>
    <xf numFmtId="4" fontId="4" fillId="4" borderId="0" xfId="0" applyNumberFormat="1" applyFont="1" applyFill="1" applyAlignment="1">
      <alignment horizontal="right"/>
    </xf>
    <xf numFmtId="2" fontId="15" fillId="2" borderId="2" xfId="0" applyNumberFormat="1" applyFont="1" applyFill="1" applyBorder="1" applyAlignment="1">
      <alignment vertical="top"/>
    </xf>
    <xf numFmtId="0" fontId="12" fillId="2" borderId="10" xfId="0" applyFont="1" applyFill="1" applyBorder="1"/>
    <xf numFmtId="0" fontId="3" fillId="2" borderId="7" xfId="0" applyFont="1" applyFill="1" applyBorder="1"/>
    <xf numFmtId="0" fontId="3" fillId="2" borderId="9" xfId="0" applyFont="1" applyFill="1" applyBorder="1"/>
    <xf numFmtId="0" fontId="3" fillId="4" borderId="3" xfId="0" applyFont="1" applyFill="1" applyBorder="1"/>
    <xf numFmtId="2" fontId="4" fillId="2" borderId="0" xfId="0" applyNumberFormat="1" applyFont="1" applyFill="1" applyAlignment="1">
      <alignment horizontal="left"/>
    </xf>
    <xf numFmtId="0" fontId="3" fillId="2" borderId="8" xfId="0" applyFont="1" applyFill="1" applyBorder="1"/>
    <xf numFmtId="0" fontId="3" fillId="4" borderId="13" xfId="0" applyFont="1" applyFill="1" applyBorder="1"/>
    <xf numFmtId="0" fontId="4" fillId="4" borderId="2" xfId="0" quotePrefix="1" applyFont="1" applyFill="1" applyBorder="1"/>
    <xf numFmtId="0" fontId="4" fillId="4" borderId="14" xfId="0" quotePrefix="1" applyFont="1" applyFill="1" applyBorder="1"/>
    <xf numFmtId="0" fontId="18" fillId="2" borderId="2" xfId="0" applyFont="1" applyFill="1" applyBorder="1" applyAlignment="1">
      <alignment vertical="top"/>
    </xf>
    <xf numFmtId="2" fontId="4" fillId="4" borderId="2" xfId="0" quotePrefix="1" applyNumberFormat="1" applyFont="1" applyFill="1" applyBorder="1"/>
    <xf numFmtId="4" fontId="4" fillId="4" borderId="11" xfId="0" applyNumberFormat="1" applyFont="1" applyFill="1" applyBorder="1"/>
    <xf numFmtId="0" fontId="4" fillId="4" borderId="11" xfId="0" applyFont="1" applyFill="1" applyBorder="1" applyAlignment="1">
      <alignment horizontal="left"/>
    </xf>
    <xf numFmtId="0" fontId="10" fillId="0" borderId="0" xfId="0" applyFont="1"/>
    <xf numFmtId="1" fontId="3" fillId="0" borderId="0" xfId="0" applyNumberFormat="1" applyFont="1"/>
    <xf numFmtId="0" fontId="4" fillId="5" borderId="15" xfId="0" applyFont="1" applyFill="1" applyBorder="1"/>
    <xf numFmtId="2" fontId="8" fillId="4" borderId="2" xfId="0" applyNumberFormat="1" applyFont="1" applyFill="1" applyBorder="1"/>
    <xf numFmtId="0" fontId="15" fillId="2" borderId="10" xfId="0" applyFont="1" applyFill="1" applyBorder="1" applyAlignment="1">
      <alignment horizontal="left" vertical="top"/>
    </xf>
    <xf numFmtId="0" fontId="4" fillId="5" borderId="16" xfId="0" applyFont="1" applyFill="1" applyBorder="1"/>
    <xf numFmtId="0" fontId="3" fillId="5" borderId="17" xfId="0" applyFont="1" applyFill="1" applyBorder="1"/>
    <xf numFmtId="2" fontId="4" fillId="0" borderId="18" xfId="0" applyNumberFormat="1" applyFont="1" applyBorder="1" applyAlignment="1" applyProtection="1">
      <alignment horizontal="center"/>
      <protection locked="0"/>
    </xf>
    <xf numFmtId="2" fontId="3" fillId="2" borderId="2" xfId="0" applyNumberFormat="1" applyFont="1" applyFill="1" applyBorder="1"/>
    <xf numFmtId="0" fontId="6" fillId="2" borderId="19" xfId="0" applyFont="1" applyFill="1" applyBorder="1"/>
    <xf numFmtId="0" fontId="0" fillId="2" borderId="0" xfId="0" applyFill="1" applyAlignment="1">
      <alignment vertical="top" wrapText="1"/>
    </xf>
    <xf numFmtId="0" fontId="4" fillId="0" borderId="2" xfId="0" applyFont="1" applyBorder="1"/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18" fillId="2" borderId="0" xfId="0" applyFont="1" applyFill="1" applyAlignment="1">
      <alignment vertical="top"/>
    </xf>
    <xf numFmtId="0" fontId="15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3" fillId="2" borderId="5" xfId="0" applyFont="1" applyFill="1" applyBorder="1"/>
    <xf numFmtId="2" fontId="3" fillId="2" borderId="0" xfId="0" applyNumberFormat="1" applyFont="1" applyFill="1"/>
    <xf numFmtId="0" fontId="12" fillId="2" borderId="2" xfId="0" applyFont="1" applyFill="1" applyBorder="1" applyAlignment="1">
      <alignment vertical="top"/>
    </xf>
    <xf numFmtId="0" fontId="8" fillId="2" borderId="2" xfId="0" applyFont="1" applyFill="1" applyBorder="1"/>
    <xf numFmtId="4" fontId="4" fillId="2" borderId="0" xfId="0" applyNumberFormat="1" applyFont="1" applyFill="1" applyAlignment="1">
      <alignment horizontal="center"/>
    </xf>
    <xf numFmtId="0" fontId="4" fillId="2" borderId="10" xfId="0" applyFont="1" applyFill="1" applyBorder="1"/>
    <xf numFmtId="0" fontId="0" fillId="2" borderId="6" xfId="0" applyFill="1" applyBorder="1"/>
    <xf numFmtId="4" fontId="3" fillId="4" borderId="5" xfId="0" applyNumberFormat="1" applyFont="1" applyFill="1" applyBorder="1" applyAlignment="1">
      <alignment horizontal="right"/>
    </xf>
    <xf numFmtId="0" fontId="3" fillId="4" borderId="5" xfId="0" applyFont="1" applyFill="1" applyBorder="1" applyAlignment="1">
      <alignment horizontal="left"/>
    </xf>
    <xf numFmtId="0" fontId="4" fillId="4" borderId="20" xfId="0" applyFont="1" applyFill="1" applyBorder="1"/>
    <xf numFmtId="0" fontId="4" fillId="4" borderId="13" xfId="0" quotePrefix="1" applyFont="1" applyFill="1" applyBorder="1"/>
    <xf numFmtId="4" fontId="4" fillId="4" borderId="13" xfId="0" applyNumberFormat="1" applyFont="1" applyFill="1" applyBorder="1" applyAlignment="1">
      <alignment horizontal="right"/>
    </xf>
    <xf numFmtId="0" fontId="4" fillId="4" borderId="13" xfId="0" applyFont="1" applyFill="1" applyBorder="1" applyAlignment="1">
      <alignment horizontal="left"/>
    </xf>
    <xf numFmtId="0" fontId="4" fillId="4" borderId="21" xfId="0" applyFont="1" applyFill="1" applyBorder="1"/>
    <xf numFmtId="0" fontId="4" fillId="4" borderId="22" xfId="0" applyFont="1" applyFill="1" applyBorder="1"/>
    <xf numFmtId="0" fontId="4" fillId="4" borderId="16" xfId="0" applyFont="1" applyFill="1" applyBorder="1"/>
    <xf numFmtId="0" fontId="4" fillId="4" borderId="23" xfId="0" applyFont="1" applyFill="1" applyBorder="1"/>
    <xf numFmtId="0" fontId="0" fillId="2" borderId="8" xfId="0" applyFill="1" applyBorder="1"/>
    <xf numFmtId="0" fontId="0" fillId="2" borderId="7" xfId="0" applyFill="1" applyBorder="1"/>
    <xf numFmtId="0" fontId="0" fillId="2" borderId="9" xfId="0" applyFill="1" applyBorder="1"/>
    <xf numFmtId="0" fontId="22" fillId="0" borderId="10" xfId="0" applyFont="1" applyBorder="1" applyAlignment="1">
      <alignment horizontal="left"/>
    </xf>
    <xf numFmtId="0" fontId="15" fillId="2" borderId="0" xfId="0" applyFont="1" applyFill="1" applyAlignment="1">
      <alignment vertical="top" wrapText="1"/>
    </xf>
    <xf numFmtId="0" fontId="23" fillId="0" borderId="2" xfId="0" applyFont="1" applyBorder="1"/>
    <xf numFmtId="165" fontId="4" fillId="0" borderId="0" xfId="0" quotePrefix="1" applyNumberFormat="1" applyFont="1"/>
    <xf numFmtId="10" fontId="3" fillId="0" borderId="0" xfId="3" applyNumberFormat="1" applyFont="1"/>
    <xf numFmtId="0" fontId="6" fillId="2" borderId="0" xfId="0" applyFont="1" applyFill="1"/>
    <xf numFmtId="2" fontId="3" fillId="2" borderId="3" xfId="0" applyNumberFormat="1" applyFont="1" applyFill="1" applyBorder="1"/>
    <xf numFmtId="0" fontId="4" fillId="4" borderId="12" xfId="0" applyFont="1" applyFill="1" applyBorder="1" applyAlignment="1">
      <alignment horizontal="left"/>
    </xf>
    <xf numFmtId="2" fontId="3" fillId="4" borderId="11" xfId="0" applyNumberFormat="1" applyFont="1" applyFill="1" applyBorder="1"/>
    <xf numFmtId="0" fontId="3" fillId="4" borderId="23" xfId="0" applyFont="1" applyFill="1" applyBorder="1"/>
    <xf numFmtId="0" fontId="24" fillId="4" borderId="10" xfId="0" applyFont="1" applyFill="1" applyBorder="1" applyAlignment="1">
      <alignment horizontal="left"/>
    </xf>
    <xf numFmtId="0" fontId="4" fillId="4" borderId="11" xfId="0" applyFont="1" applyFill="1" applyBorder="1"/>
    <xf numFmtId="0" fontId="3" fillId="3" borderId="8" xfId="0" applyFont="1" applyFill="1" applyBorder="1" applyAlignment="1">
      <alignment horizontal="left"/>
    </xf>
    <xf numFmtId="2" fontId="4" fillId="3" borderId="7" xfId="0" applyNumberFormat="1" applyFont="1" applyFill="1" applyBorder="1"/>
    <xf numFmtId="2" fontId="4" fillId="3" borderId="7" xfId="0" quotePrefix="1" applyNumberFormat="1" applyFont="1" applyFill="1" applyBorder="1"/>
    <xf numFmtId="4" fontId="4" fillId="3" borderId="7" xfId="0" applyNumberFormat="1" applyFont="1" applyFill="1" applyBorder="1" applyAlignment="1">
      <alignment horizontal="right"/>
    </xf>
    <xf numFmtId="0" fontId="4" fillId="3" borderId="9" xfId="0" applyFont="1" applyFill="1" applyBorder="1"/>
    <xf numFmtId="2" fontId="3" fillId="2" borderId="6" xfId="0" applyNumberFormat="1" applyFont="1" applyFill="1" applyBorder="1"/>
    <xf numFmtId="0" fontId="25" fillId="0" borderId="1" xfId="0" applyFont="1" applyBorder="1"/>
    <xf numFmtId="0" fontId="3" fillId="4" borderId="10" xfId="0" quotePrefix="1" applyFont="1" applyFill="1" applyBorder="1"/>
    <xf numFmtId="0" fontId="26" fillId="4" borderId="5" xfId="0" applyFont="1" applyFill="1" applyBorder="1"/>
    <xf numFmtId="0" fontId="15" fillId="2" borderId="2" xfId="0" applyFont="1" applyFill="1" applyBorder="1" applyAlignment="1">
      <alignment vertical="top"/>
    </xf>
    <xf numFmtId="2" fontId="9" fillId="2" borderId="0" xfId="0" applyNumberFormat="1" applyFont="1" applyFill="1" applyAlignment="1">
      <alignment horizontal="left"/>
    </xf>
    <xf numFmtId="0" fontId="9" fillId="2" borderId="3" xfId="0" applyFont="1" applyFill="1" applyBorder="1"/>
    <xf numFmtId="2" fontId="9" fillId="2" borderId="3" xfId="0" applyNumberFormat="1" applyFont="1" applyFill="1" applyBorder="1"/>
    <xf numFmtId="0" fontId="15" fillId="2" borderId="7" xfId="0" applyFont="1" applyFill="1" applyBorder="1" applyAlignment="1">
      <alignment vertical="top"/>
    </xf>
    <xf numFmtId="0" fontId="15" fillId="2" borderId="5" xfId="0" applyFont="1" applyFill="1" applyBorder="1" applyAlignment="1">
      <alignment vertical="top"/>
    </xf>
    <xf numFmtId="2" fontId="15" fillId="2" borderId="0" xfId="0" applyNumberFormat="1" applyFont="1" applyFill="1" applyAlignment="1">
      <alignment vertical="top"/>
    </xf>
    <xf numFmtId="0" fontId="4" fillId="4" borderId="13" xfId="0" applyFont="1" applyFill="1" applyBorder="1"/>
    <xf numFmtId="2" fontId="15" fillId="2" borderId="0" xfId="0" applyNumberFormat="1" applyFont="1" applyFill="1"/>
    <xf numFmtId="0" fontId="12" fillId="2" borderId="5" xfId="0" applyFont="1" applyFill="1" applyBorder="1" applyAlignment="1">
      <alignment vertical="top"/>
    </xf>
    <xf numFmtId="2" fontId="9" fillId="2" borderId="7" xfId="0" applyNumberFormat="1" applyFont="1" applyFill="1" applyBorder="1"/>
    <xf numFmtId="2" fontId="9" fillId="2" borderId="3" xfId="0" applyNumberFormat="1" applyFont="1" applyFill="1" applyBorder="1" applyAlignment="1">
      <alignment horizontal="left"/>
    </xf>
    <xf numFmtId="0" fontId="3" fillId="6" borderId="2" xfId="0" applyFont="1" applyFill="1" applyBorder="1"/>
    <xf numFmtId="0" fontId="3" fillId="6" borderId="8" xfId="0" applyFont="1" applyFill="1" applyBorder="1"/>
    <xf numFmtId="0" fontId="15" fillId="2" borderId="24" xfId="0" applyFont="1" applyFill="1" applyBorder="1" applyAlignment="1">
      <alignment horizontal="left" vertical="top"/>
    </xf>
    <xf numFmtId="0" fontId="3" fillId="2" borderId="19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0" fontId="15" fillId="2" borderId="8" xfId="0" applyFont="1" applyFill="1" applyBorder="1" applyAlignment="1">
      <alignment vertical="top"/>
    </xf>
    <xf numFmtId="2" fontId="9" fillId="2" borderId="9" xfId="0" applyNumberFormat="1" applyFont="1" applyFill="1" applyBorder="1" applyAlignment="1">
      <alignment horizontal="left"/>
    </xf>
    <xf numFmtId="0" fontId="0" fillId="2" borderId="3" xfId="0" applyFill="1" applyBorder="1" applyAlignment="1">
      <alignment vertical="top" wrapText="1"/>
    </xf>
    <xf numFmtId="4" fontId="4" fillId="4" borderId="0" xfId="0" applyNumberFormat="1" applyFont="1" applyFill="1"/>
    <xf numFmtId="0" fontId="4" fillId="5" borderId="12" xfId="0" applyFont="1" applyFill="1" applyBorder="1"/>
    <xf numFmtId="2" fontId="4" fillId="5" borderId="11" xfId="0" quotePrefix="1" applyNumberFormat="1" applyFont="1" applyFill="1" applyBorder="1"/>
    <xf numFmtId="0" fontId="4" fillId="5" borderId="23" xfId="0" applyFont="1" applyFill="1" applyBorder="1"/>
    <xf numFmtId="2" fontId="28" fillId="0" borderId="0" xfId="0" applyNumberFormat="1" applyFont="1"/>
    <xf numFmtId="4" fontId="4" fillId="5" borderId="7" xfId="0" applyNumberFormat="1" applyFont="1" applyFill="1" applyBorder="1" applyAlignment="1">
      <alignment horizontal="right"/>
    </xf>
    <xf numFmtId="4" fontId="4" fillId="5" borderId="4" xfId="0" applyNumberFormat="1" applyFont="1" applyFill="1" applyBorder="1" applyAlignment="1">
      <alignment horizontal="right"/>
    </xf>
    <xf numFmtId="0" fontId="3" fillId="5" borderId="26" xfId="0" applyFont="1" applyFill="1" applyBorder="1"/>
    <xf numFmtId="4" fontId="4" fillId="5" borderId="26" xfId="0" applyNumberFormat="1" applyFont="1" applyFill="1" applyBorder="1" applyAlignment="1">
      <alignment horizontal="right"/>
    </xf>
    <xf numFmtId="0" fontId="4" fillId="5" borderId="27" xfId="0" applyFont="1" applyFill="1" applyBorder="1"/>
    <xf numFmtId="0" fontId="15" fillId="2" borderId="8" xfId="0" applyFont="1" applyFill="1" applyBorder="1" applyAlignment="1">
      <alignment vertical="top" wrapText="1"/>
    </xf>
    <xf numFmtId="0" fontId="3" fillId="2" borderId="10" xfId="0" applyFont="1" applyFill="1" applyBorder="1"/>
    <xf numFmtId="0" fontId="4" fillId="3" borderId="7" xfId="0" applyFont="1" applyFill="1" applyBorder="1"/>
    <xf numFmtId="0" fontId="3" fillId="3" borderId="7" xfId="0" applyFont="1" applyFill="1" applyBorder="1"/>
    <xf numFmtId="4" fontId="4" fillId="3" borderId="7" xfId="0" applyNumberFormat="1" applyFont="1" applyFill="1" applyBorder="1"/>
    <xf numFmtId="0" fontId="4" fillId="3" borderId="7" xfId="0" applyFont="1" applyFill="1" applyBorder="1" applyAlignment="1">
      <alignment horizontal="left"/>
    </xf>
    <xf numFmtId="0" fontId="3" fillId="5" borderId="28" xfId="0" applyFont="1" applyFill="1" applyBorder="1"/>
    <xf numFmtId="2" fontId="12" fillId="2" borderId="0" xfId="0" applyNumberFormat="1" applyFont="1" applyFill="1"/>
    <xf numFmtId="0" fontId="14" fillId="2" borderId="2" xfId="0" applyFont="1" applyFill="1" applyBorder="1"/>
    <xf numFmtId="0" fontId="13" fillId="2" borderId="2" xfId="0" applyFont="1" applyFill="1" applyBorder="1"/>
    <xf numFmtId="2" fontId="4" fillId="0" borderId="0" xfId="0" applyNumberFormat="1" applyFont="1"/>
    <xf numFmtId="2" fontId="4" fillId="5" borderId="11" xfId="0" applyNumberFormat="1" applyFont="1" applyFill="1" applyBorder="1" applyAlignment="1">
      <alignment horizontal="center"/>
    </xf>
    <xf numFmtId="0" fontId="4" fillId="5" borderId="29" xfId="0" applyFont="1" applyFill="1" applyBorder="1" applyAlignment="1">
      <alignment horizontal="left"/>
    </xf>
    <xf numFmtId="0" fontId="4" fillId="5" borderId="30" xfId="0" applyFont="1" applyFill="1" applyBorder="1" applyAlignment="1">
      <alignment horizontal="left"/>
    </xf>
    <xf numFmtId="2" fontId="4" fillId="5" borderId="31" xfId="0" applyNumberFormat="1" applyFont="1" applyFill="1" applyBorder="1"/>
    <xf numFmtId="0" fontId="12" fillId="2" borderId="5" xfId="0" applyFont="1" applyFill="1" applyBorder="1"/>
    <xf numFmtId="2" fontId="12" fillId="2" borderId="10" xfId="0" applyNumberFormat="1" applyFont="1" applyFill="1" applyBorder="1"/>
    <xf numFmtId="0" fontId="9" fillId="2" borderId="6" xfId="0" applyFont="1" applyFill="1" applyBorder="1" applyAlignment="1">
      <alignment vertical="top" wrapText="1"/>
    </xf>
    <xf numFmtId="0" fontId="17" fillId="2" borderId="3" xfId="0" applyFont="1" applyFill="1" applyBorder="1" applyAlignment="1">
      <alignment vertical="top"/>
    </xf>
    <xf numFmtId="0" fontId="9" fillId="2" borderId="2" xfId="0" applyFont="1" applyFill="1" applyBorder="1" applyAlignment="1">
      <alignment wrapText="1"/>
    </xf>
    <xf numFmtId="0" fontId="0" fillId="0" borderId="26" xfId="0" applyBorder="1"/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164" fontId="4" fillId="3" borderId="23" xfId="0" applyNumberFormat="1" applyFont="1" applyFill="1" applyBorder="1" applyAlignment="1" applyProtection="1">
      <alignment horizontal="center"/>
      <protection locked="0"/>
    </xf>
    <xf numFmtId="0" fontId="33" fillId="3" borderId="0" xfId="0" applyFont="1" applyFill="1"/>
    <xf numFmtId="2" fontId="4" fillId="4" borderId="4" xfId="0" quotePrefix="1" applyNumberFormat="1" applyFont="1" applyFill="1" applyBorder="1"/>
    <xf numFmtId="0" fontId="3" fillId="3" borderId="3" xfId="0" applyFont="1" applyFill="1" applyBorder="1" applyProtection="1">
      <protection locked="0"/>
    </xf>
    <xf numFmtId="2" fontId="30" fillId="7" borderId="0" xfId="0" applyNumberFormat="1" applyFont="1" applyFill="1"/>
    <xf numFmtId="167" fontId="3" fillId="0" borderId="0" xfId="0" applyNumberFormat="1" applyFont="1"/>
    <xf numFmtId="167" fontId="3" fillId="0" borderId="0" xfId="0" applyNumberFormat="1" applyFont="1" applyAlignment="1">
      <alignment horizontal="left"/>
    </xf>
    <xf numFmtId="0" fontId="44" fillId="8" borderId="5" xfId="0" applyFont="1" applyFill="1" applyBorder="1" applyAlignment="1">
      <alignment vertical="top"/>
    </xf>
    <xf numFmtId="0" fontId="3" fillId="8" borderId="5" xfId="0" applyFont="1" applyFill="1" applyBorder="1"/>
    <xf numFmtId="0" fontId="29" fillId="8" borderId="5" xfId="0" applyFont="1" applyFill="1" applyBorder="1"/>
    <xf numFmtId="0" fontId="45" fillId="8" borderId="0" xfId="0" applyFont="1" applyFill="1" applyAlignment="1">
      <alignment horizontal="left"/>
    </xf>
    <xf numFmtId="0" fontId="3" fillId="8" borderId="0" xfId="0" applyFont="1" applyFill="1"/>
    <xf numFmtId="0" fontId="31" fillId="8" borderId="0" xfId="0" applyFont="1" applyFill="1" applyAlignment="1">
      <alignment vertical="top" wrapText="1"/>
    </xf>
    <xf numFmtId="0" fontId="45" fillId="8" borderId="0" xfId="0" applyFont="1" applyFill="1"/>
    <xf numFmtId="0" fontId="46" fillId="8" borderId="6" xfId="0" applyFont="1" applyFill="1" applyBorder="1" applyAlignment="1">
      <alignment vertical="top" wrapText="1"/>
    </xf>
    <xf numFmtId="0" fontId="39" fillId="0" borderId="0" xfId="0" applyFont="1"/>
    <xf numFmtId="0" fontId="40" fillId="0" borderId="0" xfId="0" applyFont="1"/>
    <xf numFmtId="4" fontId="39" fillId="0" borderId="0" xfId="1" applyNumberFormat="1" applyFont="1" applyAlignment="1">
      <alignment horizontal="center"/>
    </xf>
    <xf numFmtId="4" fontId="39" fillId="0" borderId="0" xfId="0" applyNumberFormat="1" applyFont="1"/>
    <xf numFmtId="167" fontId="39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67" fontId="40" fillId="0" borderId="0" xfId="0" applyNumberFormat="1" applyFont="1" applyAlignment="1">
      <alignment horizontal="left" vertical="top"/>
    </xf>
    <xf numFmtId="2" fontId="3" fillId="0" borderId="0" xfId="0" quotePrefix="1" applyNumberFormat="1" applyFont="1"/>
    <xf numFmtId="2" fontId="39" fillId="0" borderId="0" xfId="0" applyNumberFormat="1" applyFont="1"/>
    <xf numFmtId="1" fontId="39" fillId="0" borderId="0" xfId="0" applyNumberFormat="1" applyFont="1"/>
    <xf numFmtId="0" fontId="3" fillId="0" borderId="0" xfId="0" applyFont="1" applyAlignment="1">
      <alignment wrapText="1"/>
    </xf>
    <xf numFmtId="0" fontId="47" fillId="0" borderId="0" xfId="0" applyFont="1"/>
    <xf numFmtId="4" fontId="39" fillId="0" borderId="0" xfId="0" applyNumberFormat="1" applyFont="1" applyAlignment="1">
      <alignment horizontal="center"/>
    </xf>
    <xf numFmtId="0" fontId="48" fillId="0" borderId="0" xfId="0" applyFont="1"/>
    <xf numFmtId="2" fontId="30" fillId="7" borderId="3" xfId="0" applyNumberFormat="1" applyFont="1" applyFill="1" applyBorder="1"/>
    <xf numFmtId="0" fontId="25" fillId="0" borderId="0" xfId="0" applyFont="1"/>
    <xf numFmtId="0" fontId="40" fillId="0" borderId="0" xfId="0" applyFont="1" applyAlignment="1">
      <alignment horizontal="left" vertical="top"/>
    </xf>
    <xf numFmtId="0" fontId="39" fillId="0" borderId="0" xfId="0" applyFont="1" applyAlignment="1">
      <alignment wrapText="1"/>
    </xf>
    <xf numFmtId="2" fontId="40" fillId="0" borderId="0" xfId="0" applyNumberFormat="1" applyFont="1" applyAlignment="1">
      <alignment horizontal="right"/>
    </xf>
    <xf numFmtId="166" fontId="39" fillId="0" borderId="0" xfId="0" applyNumberFormat="1" applyFont="1"/>
    <xf numFmtId="0" fontId="39" fillId="0" borderId="0" xfId="0" applyFont="1" applyAlignment="1">
      <alignment horizontal="left"/>
    </xf>
    <xf numFmtId="0" fontId="39" fillId="0" borderId="0" xfId="0" applyFont="1" applyAlignment="1">
      <alignment horizontal="left" vertical="top"/>
    </xf>
    <xf numFmtId="0" fontId="39" fillId="0" borderId="0" xfId="1" applyFont="1" applyAlignment="1">
      <alignment wrapText="1"/>
    </xf>
    <xf numFmtId="0" fontId="39" fillId="0" borderId="0" xfId="1" applyFont="1"/>
    <xf numFmtId="0" fontId="3" fillId="0" borderId="0" xfId="0" applyFont="1" applyAlignment="1">
      <alignment horizontal="center"/>
    </xf>
    <xf numFmtId="0" fontId="3" fillId="0" borderId="32" xfId="1" applyFont="1" applyBorder="1" applyAlignment="1">
      <alignment wrapText="1"/>
    </xf>
    <xf numFmtId="0" fontId="39" fillId="0" borderId="0" xfId="1" applyFont="1" applyAlignment="1">
      <alignment horizontal="right"/>
    </xf>
    <xf numFmtId="2" fontId="47" fillId="0" borderId="0" xfId="0" applyNumberFormat="1" applyFont="1"/>
    <xf numFmtId="0" fontId="39" fillId="0" borderId="33" xfId="0" applyFont="1" applyBorder="1"/>
    <xf numFmtId="165" fontId="39" fillId="0" borderId="0" xfId="0" applyNumberFormat="1" applyFont="1" applyAlignment="1">
      <alignment horizontal="left" vertical="top"/>
    </xf>
    <xf numFmtId="165" fontId="39" fillId="0" borderId="0" xfId="0" applyNumberFormat="1" applyFont="1" applyAlignment="1">
      <alignment wrapText="1"/>
    </xf>
    <xf numFmtId="166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left"/>
    </xf>
    <xf numFmtId="0" fontId="3" fillId="0" borderId="32" xfId="0" applyFont="1" applyBorder="1" applyAlignment="1">
      <alignment horizontal="center"/>
    </xf>
    <xf numFmtId="167" fontId="39" fillId="0" borderId="34" xfId="0" applyNumberFormat="1" applyFont="1" applyBorder="1" applyAlignment="1">
      <alignment horizontal="left" vertical="top"/>
    </xf>
    <xf numFmtId="0" fontId="3" fillId="0" borderId="34" xfId="0" applyFont="1" applyBorder="1" applyAlignment="1">
      <alignment vertical="top" wrapText="1"/>
    </xf>
    <xf numFmtId="0" fontId="3" fillId="0" borderId="34" xfId="0" applyFont="1" applyBorder="1" applyAlignment="1">
      <alignment wrapText="1"/>
    </xf>
    <xf numFmtId="0" fontId="39" fillId="0" borderId="34" xfId="0" applyFont="1" applyBorder="1"/>
    <xf numFmtId="4" fontId="39" fillId="0" borderId="32" xfId="1" applyNumberFormat="1" applyFont="1" applyBorder="1" applyAlignment="1">
      <alignment horizontal="center"/>
    </xf>
    <xf numFmtId="0" fontId="3" fillId="0" borderId="32" xfId="0" applyFont="1" applyBorder="1" applyAlignment="1">
      <alignment horizontal="left" wrapText="1"/>
    </xf>
    <xf numFmtId="4" fontId="39" fillId="0" borderId="34" xfId="1" applyNumberFormat="1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" fillId="0" borderId="34" xfId="0" applyFont="1" applyBorder="1" applyAlignment="1">
      <alignment vertical="top"/>
    </xf>
    <xf numFmtId="167" fontId="40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0" fontId="39" fillId="0" borderId="32" xfId="0" applyFont="1" applyBorder="1"/>
    <xf numFmtId="0" fontId="39" fillId="0" borderId="34" xfId="0" applyFont="1" applyBorder="1" applyAlignment="1">
      <alignment wrapText="1"/>
    </xf>
    <xf numFmtId="2" fontId="39" fillId="0" borderId="34" xfId="0" applyNumberFormat="1" applyFont="1" applyBorder="1"/>
    <xf numFmtId="0" fontId="3" fillId="0" borderId="0" xfId="0" applyFont="1" applyAlignment="1">
      <alignment vertical="top"/>
    </xf>
    <xf numFmtId="2" fontId="39" fillId="0" borderId="34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39" fillId="0" borderId="32" xfId="0" applyFont="1" applyBorder="1" applyAlignment="1">
      <alignment horizontal="center"/>
    </xf>
    <xf numFmtId="0" fontId="3" fillId="0" borderId="3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4" fontId="39" fillId="0" borderId="32" xfId="0" applyNumberFormat="1" applyFont="1" applyBorder="1" applyAlignment="1">
      <alignment horizontal="center"/>
    </xf>
    <xf numFmtId="4" fontId="3" fillId="0" borderId="34" xfId="0" applyNumberFormat="1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4" fontId="39" fillId="0" borderId="32" xfId="0" applyNumberFormat="1" applyFont="1" applyBorder="1"/>
    <xf numFmtId="4" fontId="39" fillId="0" borderId="0" xfId="1" applyNumberFormat="1" applyFont="1"/>
    <xf numFmtId="167" fontId="39" fillId="0" borderId="32" xfId="0" applyNumberFormat="1" applyFont="1" applyBorder="1" applyAlignment="1">
      <alignment horizontal="left" vertical="top"/>
    </xf>
    <xf numFmtId="4" fontId="39" fillId="0" borderId="33" xfId="1" applyNumberFormat="1" applyFont="1" applyBorder="1" applyAlignment="1">
      <alignment horizontal="center"/>
    </xf>
    <xf numFmtId="17" fontId="47" fillId="0" borderId="0" xfId="0" applyNumberFormat="1" applyFont="1"/>
    <xf numFmtId="167" fontId="40" fillId="0" borderId="32" xfId="0" applyNumberFormat="1" applyFont="1" applyBorder="1" applyAlignment="1">
      <alignment horizontal="left" vertical="top"/>
    </xf>
    <xf numFmtId="4" fontId="40" fillId="0" borderId="0" xfId="0" applyNumberFormat="1" applyFont="1"/>
    <xf numFmtId="4" fontId="3" fillId="0" borderId="34" xfId="0" applyNumberFormat="1" applyFont="1" applyBorder="1" applyAlignment="1">
      <alignment wrapText="1"/>
    </xf>
    <xf numFmtId="165" fontId="3" fillId="0" borderId="32" xfId="0" applyNumberFormat="1" applyFont="1" applyBorder="1" applyAlignment="1">
      <alignment horizontal="center"/>
    </xf>
    <xf numFmtId="166" fontId="3" fillId="0" borderId="32" xfId="0" applyNumberFormat="1" applyFont="1" applyBorder="1" applyAlignment="1">
      <alignment horizontal="center"/>
    </xf>
    <xf numFmtId="4" fontId="3" fillId="0" borderId="0" xfId="0" applyNumberFormat="1" applyFont="1" applyAlignment="1">
      <alignment wrapText="1"/>
    </xf>
    <xf numFmtId="4" fontId="39" fillId="0" borderId="34" xfId="0" applyNumberFormat="1" applyFont="1" applyBorder="1"/>
    <xf numFmtId="0" fontId="40" fillId="0" borderId="0" xfId="0" applyFont="1" applyAlignment="1">
      <alignment vertical="top"/>
    </xf>
    <xf numFmtId="0" fontId="39" fillId="0" borderId="34" xfId="0" applyFont="1" applyBorder="1" applyAlignment="1">
      <alignment vertical="top"/>
    </xf>
    <xf numFmtId="0" fontId="3" fillId="0" borderId="33" xfId="0" applyFont="1" applyBorder="1" applyAlignment="1">
      <alignment wrapText="1"/>
    </xf>
    <xf numFmtId="0" fontId="3" fillId="0" borderId="32" xfId="0" applyFont="1" applyBorder="1" applyAlignment="1">
      <alignment wrapText="1"/>
    </xf>
    <xf numFmtId="4" fontId="47" fillId="0" borderId="0" xfId="0" applyNumberFormat="1" applyFont="1"/>
    <xf numFmtId="4" fontId="39" fillId="0" borderId="0" xfId="1" applyNumberFormat="1" applyFont="1" applyAlignment="1">
      <alignment horizontal="left"/>
    </xf>
    <xf numFmtId="0" fontId="49" fillId="0" borderId="0" xfId="0" applyFont="1" applyAlignment="1">
      <alignment horizontal="left" vertical="top" wrapText="1"/>
    </xf>
    <xf numFmtId="167" fontId="49" fillId="0" borderId="0" xfId="0" applyNumberFormat="1" applyFont="1" applyAlignment="1">
      <alignment horizontal="left" vertical="top"/>
    </xf>
    <xf numFmtId="167" fontId="50" fillId="0" borderId="34" xfId="0" applyNumberFormat="1" applyFont="1" applyBorder="1" applyAlignment="1">
      <alignment horizontal="left" vertical="top"/>
    </xf>
    <xf numFmtId="0" fontId="50" fillId="0" borderId="34" xfId="0" applyFont="1" applyBorder="1" applyAlignment="1">
      <alignment horizontal="left" vertical="top" wrapText="1"/>
    </xf>
    <xf numFmtId="167" fontId="50" fillId="0" borderId="0" xfId="0" applyNumberFormat="1" applyFont="1" applyAlignment="1">
      <alignment horizontal="left" vertical="top"/>
    </xf>
    <xf numFmtId="0" fontId="50" fillId="0" borderId="0" xfId="0" applyFont="1" applyAlignment="1">
      <alignment horizontal="left" vertical="top" wrapText="1"/>
    </xf>
    <xf numFmtId="0" fontId="50" fillId="0" borderId="0" xfId="0" applyFont="1" applyAlignment="1">
      <alignment vertical="top"/>
    </xf>
    <xf numFmtId="167" fontId="49" fillId="0" borderId="0" xfId="0" applyNumberFormat="1" applyFont="1" applyAlignment="1">
      <alignment horizontal="left" vertical="top" wrapText="1"/>
    </xf>
    <xf numFmtId="0" fontId="50" fillId="0" borderId="0" xfId="0" applyFont="1" applyAlignment="1">
      <alignment wrapText="1"/>
    </xf>
    <xf numFmtId="2" fontId="12" fillId="2" borderId="10" xfId="0" applyNumberFormat="1" applyFont="1" applyFill="1" applyBorder="1" applyAlignment="1">
      <alignment horizontal="left" vertical="top" wrapText="1"/>
    </xf>
    <xf numFmtId="2" fontId="12" fillId="2" borderId="6" xfId="0" applyNumberFormat="1" applyFont="1" applyFill="1" applyBorder="1" applyAlignment="1">
      <alignment horizontal="left" vertical="top" wrapText="1"/>
    </xf>
    <xf numFmtId="2" fontId="12" fillId="2" borderId="2" xfId="0" applyNumberFormat="1" applyFont="1" applyFill="1" applyBorder="1" applyAlignment="1">
      <alignment horizontal="left" vertical="top" wrapText="1"/>
    </xf>
    <xf numFmtId="2" fontId="12" fillId="2" borderId="3" xfId="0" applyNumberFormat="1" applyFont="1" applyFill="1" applyBorder="1" applyAlignment="1">
      <alignment horizontal="left" vertical="top" wrapText="1"/>
    </xf>
    <xf numFmtId="0" fontId="27" fillId="6" borderId="2" xfId="0" applyFont="1" applyFill="1" applyBorder="1" applyAlignment="1">
      <alignment horizontal="left" vertical="top" wrapText="1"/>
    </xf>
    <xf numFmtId="0" fontId="27" fillId="6" borderId="0" xfId="0" applyFont="1" applyFill="1" applyAlignment="1">
      <alignment horizontal="left" vertical="top" wrapText="1"/>
    </xf>
    <xf numFmtId="0" fontId="27" fillId="6" borderId="3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20" fillId="2" borderId="3" xfId="0" applyFont="1" applyFill="1" applyBorder="1" applyAlignment="1">
      <alignment vertical="top" wrapText="1"/>
    </xf>
    <xf numFmtId="0" fontId="21" fillId="0" borderId="3" xfId="0" applyFont="1" applyBorder="1" applyAlignment="1">
      <alignment vertical="top" wrapText="1"/>
    </xf>
    <xf numFmtId="2" fontId="35" fillId="2" borderId="8" xfId="0" applyNumberFormat="1" applyFont="1" applyFill="1" applyBorder="1"/>
    <xf numFmtId="0" fontId="36" fillId="0" borderId="9" xfId="0" applyFont="1" applyBorder="1"/>
    <xf numFmtId="0" fontId="3" fillId="4" borderId="12" xfId="0" quotePrefix="1" applyFont="1" applyFill="1" applyBorder="1" applyAlignment="1">
      <alignment wrapText="1"/>
    </xf>
    <xf numFmtId="0" fontId="0" fillId="0" borderId="11" xfId="0" applyBorder="1"/>
    <xf numFmtId="4" fontId="4" fillId="4" borderId="4" xfId="0" applyNumberFormat="1" applyFont="1" applyFill="1" applyBorder="1" applyAlignment="1">
      <alignment horizontal="right"/>
    </xf>
    <xf numFmtId="0" fontId="0" fillId="0" borderId="4" xfId="0" applyBorder="1"/>
    <xf numFmtId="0" fontId="12" fillId="2" borderId="5" xfId="0" applyFont="1" applyFill="1" applyBorder="1" applyAlignment="1">
      <alignment vertical="top" wrapText="1"/>
    </xf>
    <xf numFmtId="0" fontId="32" fillId="0" borderId="5" xfId="0" applyFont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0" fontId="35" fillId="2" borderId="2" xfId="0" applyFont="1" applyFill="1" applyBorder="1" applyAlignment="1">
      <alignment wrapText="1"/>
    </xf>
    <xf numFmtId="0" fontId="35" fillId="2" borderId="0" xfId="0" applyFont="1" applyFill="1" applyAlignment="1">
      <alignment wrapText="1"/>
    </xf>
    <xf numFmtId="0" fontId="36" fillId="0" borderId="0" xfId="0" applyFont="1" applyAlignment="1">
      <alignment wrapText="1"/>
    </xf>
    <xf numFmtId="0" fontId="35" fillId="2" borderId="8" xfId="0" applyFont="1" applyFill="1" applyBorder="1" applyAlignment="1">
      <alignment wrapText="1"/>
    </xf>
    <xf numFmtId="0" fontId="35" fillId="2" borderId="7" xfId="0" applyFont="1" applyFill="1" applyBorder="1" applyAlignment="1">
      <alignment wrapText="1"/>
    </xf>
    <xf numFmtId="0" fontId="36" fillId="0" borderId="7" xfId="0" applyFont="1" applyBorder="1" applyAlignment="1">
      <alignment wrapText="1"/>
    </xf>
    <xf numFmtId="2" fontId="15" fillId="2" borderId="2" xfId="0" applyNumberFormat="1" applyFont="1" applyFill="1" applyBorder="1" applyAlignment="1">
      <alignment wrapText="1"/>
    </xf>
    <xf numFmtId="2" fontId="15" fillId="2" borderId="0" xfId="0" applyNumberFormat="1" applyFont="1" applyFill="1" applyAlignment="1">
      <alignment wrapText="1"/>
    </xf>
    <xf numFmtId="0" fontId="16" fillId="2" borderId="3" xfId="0" applyFont="1" applyFill="1" applyBorder="1" applyAlignment="1">
      <alignment wrapText="1"/>
    </xf>
    <xf numFmtId="0" fontId="16" fillId="2" borderId="2" xfId="0" applyFont="1" applyFill="1" applyBorder="1" applyAlignment="1">
      <alignment wrapText="1"/>
    </xf>
    <xf numFmtId="0" fontId="16" fillId="2" borderId="0" xfId="0" applyFont="1" applyFill="1" applyAlignment="1">
      <alignment wrapText="1"/>
    </xf>
    <xf numFmtId="0" fontId="19" fillId="2" borderId="2" xfId="0" applyFont="1" applyFill="1" applyBorder="1" applyAlignment="1">
      <alignment wrapText="1"/>
    </xf>
    <xf numFmtId="0" fontId="19" fillId="2" borderId="0" xfId="0" applyFont="1" applyFill="1" applyAlignment="1">
      <alignment wrapText="1"/>
    </xf>
    <xf numFmtId="0" fontId="17" fillId="0" borderId="3" xfId="0" applyFont="1" applyBorder="1" applyAlignment="1">
      <alignment wrapText="1"/>
    </xf>
    <xf numFmtId="0" fontId="17" fillId="0" borderId="0" xfId="0" applyFont="1" applyAlignment="1">
      <alignment wrapText="1"/>
    </xf>
    <xf numFmtId="0" fontId="15" fillId="2" borderId="2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5" fillId="2" borderId="2" xfId="0" applyFont="1" applyFill="1" applyBorder="1" applyAlignment="1">
      <alignment vertical="top" wrapText="1"/>
    </xf>
    <xf numFmtId="0" fontId="36" fillId="0" borderId="3" xfId="0" applyFont="1" applyBorder="1" applyAlignment="1">
      <alignment wrapText="1"/>
    </xf>
    <xf numFmtId="0" fontId="36" fillId="0" borderId="2" xfId="0" applyFont="1" applyBorder="1" applyAlignment="1">
      <alignment wrapText="1"/>
    </xf>
    <xf numFmtId="0" fontId="36" fillId="0" borderId="8" xfId="0" applyFont="1" applyBorder="1" applyAlignment="1">
      <alignment wrapText="1"/>
    </xf>
    <xf numFmtId="0" fontId="36" fillId="0" borderId="9" xfId="0" applyFont="1" applyBorder="1" applyAlignment="1">
      <alignment wrapText="1"/>
    </xf>
    <xf numFmtId="0" fontId="27" fillId="6" borderId="12" xfId="0" applyFont="1" applyFill="1" applyBorder="1" applyAlignment="1">
      <alignment vertical="top" wrapText="1"/>
    </xf>
    <xf numFmtId="0" fontId="0" fillId="0" borderId="11" xfId="0" applyBorder="1" applyAlignment="1">
      <alignment wrapText="1"/>
    </xf>
  </cellXfs>
  <cellStyles count="4">
    <cellStyle name="Normaali" xfId="0" builtinId="0"/>
    <cellStyle name="Normaali 2" xfId="1" xr:uid="{00000000-0005-0000-0000-000001000000}"/>
    <cellStyle name="Normaali 3" xfId="2" xr:uid="{00000000-0005-0000-0000-000002000000}"/>
    <cellStyle name="Prosenttia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3366"/>
      <rgbColor rgb="00FFFFFF"/>
      <rgbColor rgb="00FF0000"/>
      <rgbColor rgb="0000FF00"/>
      <rgbColor rgb="000000FF"/>
      <rgbColor rgb="00FFFF00"/>
      <rgbColor rgb="00CC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FF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List" dx="26" fmlaLink="laskenta!$A$4" fmlaRange="laskenta!$B$6:$B$121" sel="1" val="0"/>
</file>

<file path=xl/ctrlProps/ctrlProp2.xml><?xml version="1.0" encoding="utf-8"?>
<formControlPr xmlns="http://schemas.microsoft.com/office/spreadsheetml/2009/9/main" objectType="List" dx="26" fmlaLink="'muut muuttujat'!$A$3" fmlaRange="'muut muuttujat'!$B$4:$B$5" sel="1" val="0"/>
</file>

<file path=xl/ctrlProps/ctrlProp3.xml><?xml version="1.0" encoding="utf-8"?>
<formControlPr xmlns="http://schemas.microsoft.com/office/spreadsheetml/2009/9/main" objectType="List" dx="26" fmlaLink="'muut muuttujat'!$G$3" fmlaRange="'muut muuttujat'!$H$4:$H$5" sel="1" val="0"/>
</file>

<file path=xl/ctrlProps/ctrlProp4.xml><?xml version="1.0" encoding="utf-8"?>
<formControlPr xmlns="http://schemas.microsoft.com/office/spreadsheetml/2009/9/main" objectType="List" dx="26" fmlaLink="'muut muuttujat'!$J$3" fmlaRange="'muut muuttujat'!$K$4:$K$9" sel="1" val="0"/>
</file>

<file path=xl/ctrlProps/ctrlProp5.xml><?xml version="1.0" encoding="utf-8"?>
<formControlPr xmlns="http://schemas.microsoft.com/office/spreadsheetml/2009/9/main" objectType="List" dx="26" fmlaLink="'vuosityö ja aikk laskenta'!$A$19" fmlaRange="'vuosityö ja aikk laskenta'!$B$20:$B$21" sel="1" val="0"/>
</file>

<file path=xl/ctrlProps/ctrlProp6.xml><?xml version="1.0" encoding="utf-8"?>
<formControlPr xmlns="http://schemas.microsoft.com/office/spreadsheetml/2009/9/main" objectType="List" dx="26" fmlaLink="'vuosityö ja aikk laskenta'!$A$24" fmlaRange="'vuosityö ja aikk laskenta'!$B$25:$B$30" sel="1" val="0"/>
</file>

<file path=xl/ctrlProps/ctrlProp7.xml><?xml version="1.0" encoding="utf-8"?>
<formControlPr xmlns="http://schemas.microsoft.com/office/spreadsheetml/2009/9/main" objectType="List" dx="26" fmlaLink="'vuosityö ja aikk laskenta'!$A$4" fmlaRange="'vuosityö ja aikk laskenta'!$B$5:$B$14" sel="1" val="0"/>
</file>

<file path=xl/ctrlProps/ctrlProp8.xml><?xml version="1.0" encoding="utf-8"?>
<formControlPr xmlns="http://schemas.microsoft.com/office/spreadsheetml/2009/9/main" objectType="List" dx="26" fmlaLink="'muut muuttujat'!$A$11" fmlaRange="'muut muuttujat'!$B$12:$B$15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137160</xdr:rowOff>
        </xdr:from>
        <xdr:to>
          <xdr:col>0</xdr:col>
          <xdr:colOff>3520440</xdr:colOff>
          <xdr:row>24</xdr:row>
          <xdr:rowOff>137160</xdr:rowOff>
        </xdr:to>
        <xdr:sp macro="" textlink="">
          <xdr:nvSpPr>
            <xdr:cNvPr id="1035" name="List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</xdr:row>
          <xdr:rowOff>0</xdr:rowOff>
        </xdr:from>
        <xdr:to>
          <xdr:col>2</xdr:col>
          <xdr:colOff>22860</xdr:colOff>
          <xdr:row>5</xdr:row>
          <xdr:rowOff>114300</xdr:rowOff>
        </xdr:to>
        <xdr:sp macro="" textlink="">
          <xdr:nvSpPr>
            <xdr:cNvPr id="1068" name="List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8</xdr:row>
          <xdr:rowOff>22860</xdr:rowOff>
        </xdr:from>
        <xdr:to>
          <xdr:col>2</xdr:col>
          <xdr:colOff>22860</xdr:colOff>
          <xdr:row>10</xdr:row>
          <xdr:rowOff>0</xdr:rowOff>
        </xdr:to>
        <xdr:sp macro="" textlink="">
          <xdr:nvSpPr>
            <xdr:cNvPr id="1077" name="List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4</xdr:row>
          <xdr:rowOff>7620</xdr:rowOff>
        </xdr:from>
        <xdr:to>
          <xdr:col>11</xdr:col>
          <xdr:colOff>83820</xdr:colOff>
          <xdr:row>8</xdr:row>
          <xdr:rowOff>106680</xdr:rowOff>
        </xdr:to>
        <xdr:sp macro="" textlink="">
          <xdr:nvSpPr>
            <xdr:cNvPr id="1084" name="List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30</xdr:row>
          <xdr:rowOff>38100</xdr:rowOff>
        </xdr:from>
        <xdr:to>
          <xdr:col>2</xdr:col>
          <xdr:colOff>0</xdr:colOff>
          <xdr:row>31</xdr:row>
          <xdr:rowOff>152400</xdr:rowOff>
        </xdr:to>
        <xdr:sp macro="" textlink="">
          <xdr:nvSpPr>
            <xdr:cNvPr id="1090" name="List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6</xdr:col>
          <xdr:colOff>548640</xdr:colOff>
          <xdr:row>34</xdr:row>
          <xdr:rowOff>144780</xdr:rowOff>
        </xdr:to>
        <xdr:sp macro="" textlink="">
          <xdr:nvSpPr>
            <xdr:cNvPr id="1093" name="List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28</xdr:row>
          <xdr:rowOff>68580</xdr:rowOff>
        </xdr:from>
        <xdr:to>
          <xdr:col>0</xdr:col>
          <xdr:colOff>3528060</xdr:colOff>
          <xdr:row>35</xdr:row>
          <xdr:rowOff>106680</xdr:rowOff>
        </xdr:to>
        <xdr:sp macro="" textlink="">
          <xdr:nvSpPr>
            <xdr:cNvPr id="1097" name="List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289560</xdr:colOff>
          <xdr:row>17</xdr:row>
          <xdr:rowOff>152400</xdr:rowOff>
        </xdr:from>
        <xdr:to>
          <xdr:col>12</xdr:col>
          <xdr:colOff>624840</xdr:colOff>
          <xdr:row>18</xdr:row>
          <xdr:rowOff>152400</xdr:rowOff>
        </xdr:to>
        <xdr:sp macro="" textlink="">
          <xdr:nvSpPr>
            <xdr:cNvPr id="1106" name="List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X118"/>
  <sheetViews>
    <sheetView tabSelected="1" zoomScaleNormal="100" workbookViewId="0">
      <selection activeCell="I8" sqref="I8"/>
    </sheetView>
  </sheetViews>
  <sheetFormatPr defaultColWidth="9.109375" defaultRowHeight="13.8" x14ac:dyDescent="0.3"/>
  <cols>
    <col min="1" max="1" width="51.88671875" style="1" customWidth="1"/>
    <col min="2" max="2" width="10.44140625" style="1" customWidth="1"/>
    <col min="3" max="3" width="5.33203125" style="1" customWidth="1"/>
    <col min="4" max="4" width="11.88671875" style="1" customWidth="1"/>
    <col min="5" max="5" width="1" style="1" customWidth="1"/>
    <col min="6" max="6" width="7.33203125" style="1" customWidth="1"/>
    <col min="7" max="7" width="8.5546875" style="1" customWidth="1"/>
    <col min="8" max="8" width="0.6640625" style="1" customWidth="1"/>
    <col min="9" max="9" width="10.88671875" style="1" customWidth="1"/>
    <col min="10" max="10" width="7.109375" style="1" customWidth="1"/>
    <col min="11" max="11" width="16.109375" style="1" customWidth="1"/>
    <col min="12" max="12" width="8.33203125" style="1" customWidth="1"/>
    <col min="13" max="13" width="9.44140625" style="1" customWidth="1"/>
    <col min="14" max="14" width="0.88671875" style="25" customWidth="1"/>
    <col min="15" max="24" width="9.109375" style="25"/>
    <col min="25" max="16384" width="9.109375" style="1"/>
  </cols>
  <sheetData>
    <row r="1" spans="1:24" ht="15.75" customHeight="1" thickBot="1" x14ac:dyDescent="0.35">
      <c r="A1" s="125" t="s">
        <v>604</v>
      </c>
      <c r="B1" s="36"/>
      <c r="C1" s="36"/>
      <c r="D1" s="36"/>
      <c r="E1" s="36"/>
      <c r="F1" s="36"/>
      <c r="G1" s="36"/>
      <c r="H1" s="36"/>
      <c r="I1" s="36"/>
      <c r="J1" s="36"/>
      <c r="K1" s="37"/>
      <c r="L1" s="37" t="s">
        <v>459</v>
      </c>
      <c r="M1" s="38"/>
    </row>
    <row r="2" spans="1:24" ht="2.25" hidden="1" customHeight="1" thickBot="1" x14ac:dyDescent="0.35">
      <c r="A2" s="80"/>
      <c r="B2" s="39"/>
      <c r="C2" s="39"/>
      <c r="D2" s="39"/>
      <c r="E2" s="56"/>
      <c r="F2" s="56"/>
      <c r="G2" s="56"/>
      <c r="H2" s="56"/>
      <c r="I2" s="56"/>
      <c r="J2" s="56"/>
      <c r="K2" s="56"/>
      <c r="L2" s="56"/>
      <c r="M2" s="67"/>
    </row>
    <row r="3" spans="1:24" ht="12.75" customHeight="1" x14ac:dyDescent="0.3">
      <c r="A3" s="81" t="s">
        <v>76</v>
      </c>
      <c r="B3" s="64" t="s">
        <v>232</v>
      </c>
      <c r="C3" s="44"/>
      <c r="D3" s="47"/>
      <c r="E3" s="46" t="s">
        <v>86</v>
      </c>
      <c r="F3" s="145"/>
      <c r="G3" s="183"/>
      <c r="H3" s="64" t="s">
        <v>88</v>
      </c>
      <c r="I3" s="44"/>
      <c r="J3" s="101"/>
      <c r="K3" s="306" t="s">
        <v>112</v>
      </c>
      <c r="L3" s="307"/>
      <c r="M3" s="308"/>
    </row>
    <row r="4" spans="1:24" ht="13.5" customHeight="1" x14ac:dyDescent="0.3">
      <c r="A4" s="21"/>
      <c r="B4" s="63" t="str">
        <f>IF(virheet!I10&lt;1,"2. Valitse kalleusluokka:","Älä täytä")</f>
        <v>2. Valitse kalleusluokka:</v>
      </c>
      <c r="C4" s="142"/>
      <c r="D4" s="121"/>
      <c r="E4" s="97" t="s">
        <v>87</v>
      </c>
      <c r="F4" s="28"/>
      <c r="G4" s="29"/>
      <c r="H4" s="97" t="s">
        <v>89</v>
      </c>
      <c r="I4" s="28"/>
      <c r="J4" s="29"/>
      <c r="K4" s="295" t="str">
        <f>IF(virheet!I10&lt;1," 8. Valitse siihen oikeuttava aika:","Älä täytä")</f>
        <v xml:space="preserve"> 8. Valitse siihen oikeuttava aika:</v>
      </c>
      <c r="L4" s="297"/>
      <c r="M4" s="296"/>
    </row>
    <row r="5" spans="1:24" ht="13.5" customHeight="1" thickBot="1" x14ac:dyDescent="0.35">
      <c r="A5" s="21"/>
      <c r="B5" s="33"/>
      <c r="C5" s="24"/>
      <c r="D5" s="121"/>
      <c r="E5" s="98"/>
      <c r="F5" s="93" t="str">
        <f>IF(virheet!I10&lt;1,"4. Syötä palkka:","Älä täytä")</f>
        <v>4. Syötä palkka:</v>
      </c>
      <c r="G5" s="184"/>
      <c r="H5" s="33"/>
      <c r="I5" s="295" t="str">
        <f>IF(virheet!I10&lt;1,IF(VLOOKUP(virheet!$A$10,virheet!$A$12:$F$127,6,FALSE)=0,"Ei täytetä valitulle opettajalle. Siirry kohtaan 8.","5. Syötä huojentamaton opetusvelvollisuus:"),"Älä täytä")</f>
        <v>Ei täytetä valitulle opettajalle. Siirry kohtaan 8.</v>
      </c>
      <c r="J5" s="296"/>
      <c r="K5" s="24"/>
      <c r="L5" s="87"/>
      <c r="M5" s="29"/>
    </row>
    <row r="6" spans="1:24" ht="13.5" customHeight="1" thickBot="1" x14ac:dyDescent="0.35">
      <c r="A6" s="21"/>
      <c r="B6" s="85"/>
      <c r="C6" s="96"/>
      <c r="D6" s="23"/>
      <c r="E6" s="33"/>
      <c r="F6" s="19"/>
      <c r="G6" s="147" t="s">
        <v>16</v>
      </c>
      <c r="H6" s="33"/>
      <c r="I6" s="297"/>
      <c r="J6" s="296"/>
      <c r="K6" s="87"/>
      <c r="L6" s="87"/>
      <c r="M6" s="29"/>
    </row>
    <row r="7" spans="1:24" ht="13.5" customHeight="1" thickBot="1" x14ac:dyDescent="0.35">
      <c r="A7" s="21"/>
      <c r="B7" s="317" t="str">
        <f>IF(virheet!I10&lt;1,"Onko epäpätevyyden perusteella alennettu peruspalkka?","Älä täytä")</f>
        <v>Onko epäpätevyyden perusteella alennettu peruspalkka?</v>
      </c>
      <c r="C7" s="318"/>
      <c r="D7" s="319"/>
      <c r="E7" s="185"/>
      <c r="F7" s="92" t="str">
        <f>IF(COUNTA(F6)=0,"hyväksy 'Enterillä'","")</f>
        <v>hyväksy 'Enterillä'</v>
      </c>
      <c r="G7" s="29"/>
      <c r="H7" s="33"/>
      <c r="I7" s="297"/>
      <c r="J7" s="296"/>
      <c r="K7" s="31"/>
      <c r="L7" s="31"/>
      <c r="M7" s="29"/>
    </row>
    <row r="8" spans="1:24" ht="13.5" customHeight="1" thickBot="1" x14ac:dyDescent="0.35">
      <c r="A8" s="21"/>
      <c r="B8" s="320"/>
      <c r="C8" s="321"/>
      <c r="D8" s="319"/>
      <c r="E8" s="329" t="str">
        <f>IF(virheet!I10&lt;1,IF(virheet!A2=1,virheet!B2," ")," ")</f>
        <v xml:space="preserve"> </v>
      </c>
      <c r="F8" s="313"/>
      <c r="G8" s="330"/>
      <c r="H8" s="34">
        <v>2</v>
      </c>
      <c r="I8" s="20"/>
      <c r="J8" s="138" t="s">
        <v>105</v>
      </c>
      <c r="K8" s="99"/>
      <c r="L8" s="68"/>
      <c r="M8" s="29"/>
      <c r="W8" s="1"/>
      <c r="X8" s="1"/>
    </row>
    <row r="9" spans="1:24" ht="10.5" customHeight="1" thickBot="1" x14ac:dyDescent="0.35">
      <c r="A9" s="21"/>
      <c r="B9" s="86"/>
      <c r="C9" s="120"/>
      <c r="D9" s="298" t="str">
        <f>IF(virheet!$G$10*'muut muuttujat'!$G$3=1,"Pakollinen valinta: Valitse 'On' !"," ")</f>
        <v xml:space="preserve"> </v>
      </c>
      <c r="E9" s="331"/>
      <c r="F9" s="313"/>
      <c r="G9" s="330"/>
      <c r="H9" s="98"/>
      <c r="I9" s="92" t="str">
        <f>IF(virheet!F10=0," ",IF(COUNTA(I8)=0,"hyväksy 'Enterillä'",""))</f>
        <v xml:space="preserve"> </v>
      </c>
      <c r="J9" s="29"/>
      <c r="K9" s="45"/>
      <c r="L9" s="49"/>
      <c r="M9" s="43"/>
    </row>
    <row r="10" spans="1:24" ht="14.25" customHeight="1" x14ac:dyDescent="0.3">
      <c r="A10" s="21"/>
      <c r="B10" s="33"/>
      <c r="C10" s="24"/>
      <c r="D10" s="299"/>
      <c r="E10" s="331"/>
      <c r="F10" s="313"/>
      <c r="G10" s="330"/>
      <c r="H10" s="98"/>
      <c r="I10" s="30"/>
      <c r="J10" s="30"/>
      <c r="K10" s="64" t="s">
        <v>168</v>
      </c>
      <c r="L10" s="32"/>
      <c r="M10" s="35"/>
    </row>
    <row r="11" spans="1:24" ht="12.75" customHeight="1" thickBot="1" x14ac:dyDescent="0.35">
      <c r="A11" s="21"/>
      <c r="B11" s="322" t="str">
        <f>IF(virheet!I10&lt;1,IF(virheet!G10*'muut muuttujat'!G3=1,"",IF(virheet!A4=1,virheet!C4,IF(laskenta!A4=17,"---&gt; Syötä epäpätevyys -prosentilla alennettu peruspalkka:",IF(virheet!A4=1,"",IF('muut muuttujat'!G3=1,"---&gt; Jätä alla oleva kohta täyttämättä ja siirry kohtaan 4.","---&gt; Syötä alennettu peruspalkka:"))))),"Älä täytä")</f>
        <v>---&gt; Jätä alla oleva kohta täyttämättä ja siirry kohtaan 4.</v>
      </c>
      <c r="C11" s="323"/>
      <c r="D11" s="324"/>
      <c r="E11" s="332"/>
      <c r="F11" s="316"/>
      <c r="G11" s="333"/>
      <c r="H11" s="69"/>
      <c r="I11" s="65"/>
      <c r="J11" s="65"/>
      <c r="K11" s="326" t="s">
        <v>173</v>
      </c>
      <c r="L11" s="327"/>
      <c r="M11" s="29"/>
    </row>
    <row r="12" spans="1:24" ht="13.5" customHeight="1" thickBot="1" x14ac:dyDescent="0.35">
      <c r="A12" s="21"/>
      <c r="B12" s="322"/>
      <c r="C12" s="323"/>
      <c r="D12" s="325"/>
      <c r="E12" s="64" t="s">
        <v>156</v>
      </c>
      <c r="F12" s="167"/>
      <c r="G12" s="95"/>
      <c r="H12" s="95"/>
      <c r="I12" s="95"/>
      <c r="J12" s="47"/>
      <c r="K12" s="328"/>
      <c r="L12" s="327"/>
      <c r="M12" s="29"/>
    </row>
    <row r="13" spans="1:24" ht="14.25" customHeight="1" thickBot="1" x14ac:dyDescent="0.35">
      <c r="A13" s="21"/>
      <c r="B13" s="19"/>
      <c r="C13" s="173" t="str">
        <f>IF(virheet!I10&lt;1,IF('muut muuttujat'!G3=2,"e/kk","")," ")</f>
        <v/>
      </c>
      <c r="D13" s="173"/>
      <c r="E13" s="174"/>
      <c r="F13" s="93" t="str">
        <f>IF(virheet!I10&lt;1,IF(VLOOKUP(virheet!$A$10,virheet!$A$12:$F$127,6,FALSE)=0,"Ei täytetä valitulle opettajalle. Siirry kohtaan 8.","6. Syötä vuosiviikkoylituntien määrä:"),"Älä täytä")</f>
        <v>Ei täytetä valitulle opettajalle. Siirry kohtaan 8.</v>
      </c>
      <c r="G13" s="94"/>
      <c r="H13" s="30"/>
      <c r="I13" s="30"/>
      <c r="J13" s="29"/>
      <c r="K13" s="19"/>
      <c r="L13" s="137" t="s">
        <v>16</v>
      </c>
      <c r="M13" s="23"/>
    </row>
    <row r="14" spans="1:24" ht="14.25" customHeight="1" thickBot="1" x14ac:dyDescent="0.35">
      <c r="A14" s="21"/>
      <c r="B14" s="73" t="str">
        <f>IF(virheet!I10&lt;1,IF(virheet!A6&gt;0,"",IF('muut muuttujat'!G3=1,"",IF(COUNTA(B13)=0,"hyväksy 'Enterillä'","")))," ")</f>
        <v/>
      </c>
      <c r="C14" s="92"/>
      <c r="D14" s="24"/>
      <c r="E14" s="175"/>
      <c r="F14" s="94"/>
      <c r="G14" s="94"/>
      <c r="H14" s="30"/>
      <c r="I14" s="20"/>
      <c r="J14" s="138" t="s">
        <v>105</v>
      </c>
      <c r="K14" s="73" t="str">
        <f>IF(COUNTA(K13)=0,"hyväksy 'Enterillä'","")</f>
        <v>hyväksy 'Enterillä'</v>
      </c>
      <c r="L14" s="24"/>
      <c r="M14" s="23"/>
    </row>
    <row r="15" spans="1:24" ht="15" customHeight="1" thickBot="1" x14ac:dyDescent="0.35">
      <c r="A15" s="21"/>
      <c r="B15" s="311" t="str">
        <f>IF(virheet!I10&lt;1,IF('muut muuttujat'!G3=2,IF(virheet!A3=1,virheet!B3,""),"")," ")</f>
        <v/>
      </c>
      <c r="C15" s="312"/>
      <c r="D15" s="313"/>
      <c r="E15" s="33"/>
      <c r="F15" s="93" t="str">
        <f>IF(virheet!I10&lt;1,IF(VLOOKUP(virheet!$A$10,virheet!$A$12:$F$127,6,FALSE)=0,"Ei täytetä valitulle opettajalle. Siirry kohtaan 8.","7. Syötä kertaylituntien määrä:"),"Älä täytä")</f>
        <v>Ei täytetä valitulle opettajalle. Siirry kohtaan 8.</v>
      </c>
      <c r="G15" s="94"/>
      <c r="H15" s="24"/>
      <c r="I15" s="24"/>
      <c r="J15" s="23"/>
      <c r="K15" s="34"/>
      <c r="L15" s="24"/>
      <c r="M15" s="23"/>
    </row>
    <row r="16" spans="1:24" ht="13.5" customHeight="1" thickBot="1" x14ac:dyDescent="0.35">
      <c r="A16" s="21"/>
      <c r="B16" s="311"/>
      <c r="C16" s="312"/>
      <c r="D16" s="313"/>
      <c r="E16" s="33"/>
      <c r="F16" s="24"/>
      <c r="G16" s="24"/>
      <c r="H16" s="24"/>
      <c r="I16" s="20"/>
      <c r="J16" s="138" t="s">
        <v>106</v>
      </c>
      <c r="K16" s="34"/>
      <c r="L16" s="24"/>
      <c r="M16" s="23"/>
    </row>
    <row r="17" spans="1:13" ht="9.75" customHeight="1" thickBot="1" x14ac:dyDescent="0.35">
      <c r="A17" s="21"/>
      <c r="B17" s="314"/>
      <c r="C17" s="315"/>
      <c r="D17" s="316"/>
      <c r="E17" s="112"/>
      <c r="F17" s="113"/>
      <c r="G17" s="113"/>
      <c r="H17" s="113"/>
      <c r="I17" s="45" t="str">
        <f>IF(virheet!F10=0," ",IF(COUNTA(I16)=0,"hyväksy 'Enterillä'",""))</f>
        <v xml:space="preserve"> </v>
      </c>
      <c r="J17" s="66"/>
      <c r="K17" s="166"/>
      <c r="L17" s="113"/>
      <c r="M17" s="114"/>
    </row>
    <row r="18" spans="1:13" ht="39" customHeight="1" thickBot="1" x14ac:dyDescent="0.35">
      <c r="A18" s="21"/>
      <c r="B18" s="334" t="str">
        <f>VLOOKUP(laskenta!$A$4,laskenta!$A$6:$B$121,2,FALSE)</f>
        <v>40301101 Peruskoulu -  Vuosiluokkia 1–6 käsittävän koulun rehtori, 12–23 palkkaperusteryhmää</v>
      </c>
      <c r="C18" s="335"/>
      <c r="D18" s="335"/>
      <c r="E18" s="335"/>
      <c r="F18" s="335"/>
      <c r="G18" s="335"/>
      <c r="H18" s="335"/>
      <c r="I18" s="335"/>
      <c r="J18" s="196" t="str">
        <f>IF(virheet!I10&gt;0,"SYÖTÄ ALLA PYYDETYT TIEDOT:"," ")</f>
        <v xml:space="preserve"> </v>
      </c>
      <c r="K18" s="197"/>
      <c r="L18" s="198"/>
      <c r="M18" s="203" t="str">
        <f>IF(virheet!$I$10=0,"Älä täytä:"," ")</f>
        <v>Älä täytä:</v>
      </c>
    </row>
    <row r="19" spans="1:13" ht="13.5" customHeight="1" thickBot="1" x14ac:dyDescent="0.35">
      <c r="A19" s="21"/>
      <c r="B19" s="302" t="s">
        <v>146</v>
      </c>
      <c r="C19" s="303"/>
      <c r="D19" s="303"/>
      <c r="E19" s="303"/>
      <c r="F19" s="303"/>
      <c r="G19" s="102">
        <f>IF(virheet!I10&lt;1,IF('muut muuttujat'!A3=1,VLOOKUP(laskenta!A4,laskenta!$A$6:$J$121,5,FALSE),VLOOKUP(laskenta!A4,laskenta!$A$6:$P$121,6,FALSE))," ")</f>
        <v>4092.18</v>
      </c>
      <c r="H19" s="103"/>
      <c r="I19" s="38" t="s">
        <v>16</v>
      </c>
      <c r="J19" s="199" t="str">
        <f>IF(virheet!I10=1,"Ei valita ko. opettajalla",IF(virheet!I10=2,"1.  Määrävuosikorotukseen oikeuttava aika",""))</f>
        <v/>
      </c>
      <c r="K19" s="200"/>
      <c r="L19" s="201"/>
      <c r="M19" s="192"/>
    </row>
    <row r="20" spans="1:13" ht="13.5" customHeight="1" thickBot="1" x14ac:dyDescent="0.35">
      <c r="A20" s="21"/>
      <c r="B20" s="104" t="s">
        <v>108</v>
      </c>
      <c r="C20" s="143"/>
      <c r="D20" s="105"/>
      <c r="E20" s="70"/>
      <c r="F20" s="70"/>
      <c r="G20" s="106" t="str">
        <f>IF(virheet!I10&lt;1,IF(F6=0,"",F6)," ")</f>
        <v/>
      </c>
      <c r="H20" s="107"/>
      <c r="I20" s="108" t="s">
        <v>16</v>
      </c>
      <c r="J20" s="202" t="str">
        <f>IF(virheet!I10=1,"Ei täytetä ko. opettajalle",IF(virheet!I10=2,"2. Syötä kelpoisuuden mukaan tuleva korotus-%:"," "))</f>
        <v xml:space="preserve"> </v>
      </c>
      <c r="K20" s="200"/>
      <c r="L20" s="201"/>
      <c r="M20" s="187"/>
    </row>
    <row r="21" spans="1:13" ht="13.5" customHeight="1" thickBot="1" x14ac:dyDescent="0.35">
      <c r="A21" s="21"/>
      <c r="B21" s="71" t="s">
        <v>107</v>
      </c>
      <c r="C21" s="61"/>
      <c r="D21" s="61"/>
      <c r="E21" s="56"/>
      <c r="F21" s="56"/>
      <c r="G21" s="62">
        <f>IF(virheet!I10&lt;1,IF(G19="epäpät %"," ",IF(G19=0," ",IF(G19="% rehtorista","",ROUND(VLOOKUP(laskenta!$A$4,laskenta!$A$6:$AC$121,23+'muut muuttujat'!J3,FALSE)*G19-G19,2))))," ")</f>
        <v>0</v>
      </c>
      <c r="H21" s="60"/>
      <c r="I21" s="109" t="s">
        <v>16</v>
      </c>
      <c r="J21" s="202" t="str">
        <f>IF(virheet!I10&gt;0,"3. Syötä tuntien määrä kuukaudessa:"," ")</f>
        <v xml:space="preserve"> </v>
      </c>
      <c r="K21" s="200"/>
      <c r="L21" s="200"/>
      <c r="M21" s="188"/>
    </row>
    <row r="22" spans="1:13" ht="13.5" customHeight="1" thickBot="1" x14ac:dyDescent="0.35">
      <c r="A22" s="21"/>
      <c r="B22" s="72" t="s">
        <v>145</v>
      </c>
      <c r="C22" s="26"/>
      <c r="D22" s="26"/>
      <c r="E22" s="26"/>
      <c r="F22" s="304" t="str">
        <f>IF(virheet!I10&lt;1,IF(L23=" "," ",IF(virheet!$F$10=0,"eivät mahdollisia",ROUND(I14*L23,2)))," ")</f>
        <v xml:space="preserve"> </v>
      </c>
      <c r="G22" s="305"/>
      <c r="H22" s="60"/>
      <c r="I22" s="109" t="str">
        <f>IF(virheet!I10&lt;1,CONCATENATE("e/kk"," ","(",I14," ","kpl",")")," ")</f>
        <v>e/kk ( kpl)</v>
      </c>
      <c r="J22" s="157" t="s">
        <v>153</v>
      </c>
      <c r="K22" s="158"/>
      <c r="L22" s="177" t="str">
        <f>IF(virheet!I10&gt;0,VLOOKUP(laskenta!A4,laskenta!$A$6:$Q$121,17,FALSE)," ")</f>
        <v xml:space="preserve"> </v>
      </c>
      <c r="M22" s="159" t="s">
        <v>113</v>
      </c>
    </row>
    <row r="23" spans="1:13" ht="13.2" customHeight="1" x14ac:dyDescent="0.3">
      <c r="A23" s="21"/>
      <c r="B23" s="72" t="s">
        <v>176</v>
      </c>
      <c r="C23" s="26"/>
      <c r="D23" s="26"/>
      <c r="E23" s="26"/>
      <c r="F23" s="304" t="str">
        <f>IF(virheet!I10&lt;1,IF(L24=" "," ",IF(virheet!$F$10=0,"eivät mahdollisia",ROUND(I16*L24,2))),ROUND(KÄYTTÖTAULU!L22*KÄYTTÖTAULU!M21,2))</f>
        <v xml:space="preserve"> </v>
      </c>
      <c r="G23" s="305"/>
      <c r="H23" s="60"/>
      <c r="I23" s="109" t="str">
        <f>CONCATENATE("e/kk"," ","(",IF(virheet!I10&lt;1,I16,KÄYTTÖTAULU!M21)," ","kpl",")")</f>
        <v>e/kk ( kpl)</v>
      </c>
      <c r="J23" s="178" t="s">
        <v>115</v>
      </c>
      <c r="K23" s="163"/>
      <c r="L23" s="164" t="str">
        <f>IF(virheet!I10=0,IF(I8*F6=0," ",IF(virheet!F10=0," ",IF('muut muuttujat'!A3=1,VLOOKUP(laskenta!A4,laskenta!$A$6:$P$121,11,FALSE),VLOOKUP(laskenta!A4,laskenta!$A$6:$P$121,12,FALSE))))," ")</f>
        <v xml:space="preserve"> </v>
      </c>
      <c r="M23" s="165" t="s">
        <v>16</v>
      </c>
    </row>
    <row r="24" spans="1:13" ht="13.5" customHeight="1" thickBot="1" x14ac:dyDescent="0.35">
      <c r="A24" s="21"/>
      <c r="B24" s="74" t="s">
        <v>175</v>
      </c>
      <c r="C24" s="57"/>
      <c r="D24" s="57"/>
      <c r="E24" s="56"/>
      <c r="F24" s="56"/>
      <c r="G24" s="62" t="str">
        <f>IF(COUNTA(K13)=0,"",K13)</f>
        <v/>
      </c>
      <c r="H24" s="56"/>
      <c r="I24" s="110" t="s">
        <v>16</v>
      </c>
      <c r="J24" s="179" t="s">
        <v>116</v>
      </c>
      <c r="K24" s="83"/>
      <c r="L24" s="162" t="str">
        <f>IF(virheet!I10=0,IF(I8*F6=0," ",IF(virheet!F10=0," ",IF('muut muuttujat'!A$3=1,VLOOKUP(laskenta!A$4,laskenta!$A$6:$P$121,13,FALSE),VLOOKUP(laskenta!A$4,laskenta!$A$6:$P$121,14,FALSE))))," ")</f>
        <v xml:space="preserve"> </v>
      </c>
      <c r="M24" s="82" t="s">
        <v>113</v>
      </c>
    </row>
    <row r="25" spans="1:13" ht="12.75" customHeight="1" thickBot="1" x14ac:dyDescent="0.35">
      <c r="A25" s="48"/>
      <c r="B25" s="59" t="s">
        <v>109</v>
      </c>
      <c r="C25" s="126"/>
      <c r="D25" s="58"/>
      <c r="E25" s="58"/>
      <c r="F25" s="58"/>
      <c r="G25" s="75" t="str">
        <f>IF(F6=0," ",SUM(F20:G24))</f>
        <v xml:space="preserve"> </v>
      </c>
      <c r="H25" s="76"/>
      <c r="I25" s="111" t="s">
        <v>16</v>
      </c>
      <c r="J25" s="180" t="s">
        <v>114</v>
      </c>
      <c r="K25" s="172"/>
      <c r="L25" s="161" t="str">
        <f>IF(virheet!H10=0," ",IF(I8=0," ",IF(virheet!F10=0,"",IF('muut muuttujat'!A$3=1,VLOOKUP(laskenta!A$4,laskenta!$A$6:$P$121,15,FALSE),VLOOKUP(laskenta!A$4,laskenta!$A$6:$P$121,16,FALSE)))))</f>
        <v xml:space="preserve"> </v>
      </c>
      <c r="M25" s="79" t="s">
        <v>113</v>
      </c>
    </row>
    <row r="26" spans="1:13" ht="16.95" customHeight="1" thickBot="1" x14ac:dyDescent="0.35">
      <c r="A26" s="127"/>
      <c r="B26" s="168"/>
      <c r="C26" s="168"/>
      <c r="D26" s="169"/>
      <c r="E26" s="169"/>
      <c r="F26" s="169"/>
      <c r="G26" s="170"/>
      <c r="H26" s="171"/>
      <c r="I26" s="168"/>
      <c r="J26" s="128"/>
      <c r="K26" s="129"/>
      <c r="L26" s="130"/>
      <c r="M26" s="131"/>
    </row>
    <row r="27" spans="1:13" ht="13.5" customHeight="1" thickBot="1" x14ac:dyDescent="0.35">
      <c r="A27" s="122" t="s">
        <v>333</v>
      </c>
      <c r="B27" s="123"/>
      <c r="C27" s="123"/>
      <c r="D27" s="123"/>
      <c r="E27" s="58"/>
      <c r="F27" s="58"/>
      <c r="G27" s="58"/>
      <c r="H27" s="58"/>
      <c r="I27" s="58"/>
      <c r="J27" s="58"/>
      <c r="K27" s="58"/>
      <c r="L27" s="58"/>
      <c r="M27" s="124"/>
    </row>
    <row r="28" spans="1:13" ht="13.5" customHeight="1" x14ac:dyDescent="0.3">
      <c r="A28" s="150" t="s">
        <v>76</v>
      </c>
      <c r="B28" s="181" t="s">
        <v>154</v>
      </c>
      <c r="C28" s="44"/>
      <c r="D28" s="132"/>
      <c r="E28" s="306" t="s">
        <v>155</v>
      </c>
      <c r="F28" s="307"/>
      <c r="G28" s="308"/>
      <c r="H28" s="64" t="s">
        <v>165</v>
      </c>
      <c r="I28" s="100"/>
      <c r="J28" s="95"/>
      <c r="K28" s="95"/>
      <c r="L28" s="95"/>
      <c r="M28" s="47"/>
    </row>
    <row r="29" spans="1:13" ht="13.5" customHeight="1" x14ac:dyDescent="0.3">
      <c r="A29" s="151"/>
      <c r="B29" s="142" t="s">
        <v>75</v>
      </c>
      <c r="C29" s="142"/>
      <c r="D29" s="121"/>
      <c r="E29" s="295" t="s">
        <v>221</v>
      </c>
      <c r="F29" s="297"/>
      <c r="G29" s="296"/>
      <c r="H29" s="136"/>
      <c r="I29" s="93" t="s">
        <v>357</v>
      </c>
      <c r="J29" s="94"/>
      <c r="K29" s="94"/>
      <c r="L29" s="84"/>
      <c r="M29" s="138" t="s">
        <v>106</v>
      </c>
    </row>
    <row r="30" spans="1:13" ht="12" customHeight="1" x14ac:dyDescent="0.3">
      <c r="A30" s="151"/>
      <c r="B30" s="142"/>
      <c r="C30" s="142"/>
      <c r="D30" s="121"/>
      <c r="E30" s="116"/>
      <c r="F30" s="87"/>
      <c r="G30" s="155"/>
      <c r="H30" s="136"/>
      <c r="I30" s="93" t="s">
        <v>360</v>
      </c>
      <c r="J30" s="94"/>
      <c r="K30" s="94"/>
      <c r="L30" s="84"/>
      <c r="M30" s="138" t="s">
        <v>106</v>
      </c>
    </row>
    <row r="31" spans="1:13" x14ac:dyDescent="0.3">
      <c r="A31" s="151"/>
      <c r="B31" s="96"/>
      <c r="C31" s="96"/>
      <c r="D31" s="121"/>
      <c r="E31" s="24"/>
      <c r="F31" s="24"/>
      <c r="G31" s="23"/>
      <c r="H31" s="33"/>
      <c r="I31" s="309" t="s">
        <v>363</v>
      </c>
      <c r="J31" s="309"/>
      <c r="K31" s="310"/>
      <c r="L31" s="84"/>
      <c r="M31" s="138" t="s">
        <v>106</v>
      </c>
    </row>
    <row r="32" spans="1:13" ht="17.25" customHeight="1" x14ac:dyDescent="0.3">
      <c r="A32" s="151"/>
      <c r="B32" s="96"/>
      <c r="C32" s="96"/>
      <c r="D32" s="121"/>
      <c r="E32" s="24"/>
      <c r="F32" s="24"/>
      <c r="G32" s="23"/>
      <c r="H32" s="292" t="str">
        <f>VLOOKUP('vuosityö ja aikk laskenta'!A4,'vuosityö ja aikk laskenta'!$A$5:$B$17,2,FALSE)</f>
        <v>41103003 Opinto-ohjaaja/ylempi korkeakoulututkinto ja ylempi ammattikorkeakoulututkinto</v>
      </c>
      <c r="I32" s="293"/>
      <c r="J32" s="293"/>
      <c r="K32" s="293"/>
      <c r="L32" s="293"/>
      <c r="M32" s="294"/>
    </row>
    <row r="33" spans="1:24" ht="13.5" customHeight="1" thickBot="1" x14ac:dyDescent="0.35">
      <c r="A33" s="151"/>
      <c r="B33" s="24"/>
      <c r="C33" s="24"/>
      <c r="D33" s="121"/>
      <c r="E33" s="24"/>
      <c r="F33" s="24"/>
      <c r="G33" s="24"/>
      <c r="H33" s="292"/>
      <c r="I33" s="293"/>
      <c r="J33" s="293"/>
      <c r="K33" s="293"/>
      <c r="L33" s="293"/>
      <c r="M33" s="294"/>
    </row>
    <row r="34" spans="1:24" ht="13.5" customHeight="1" thickBot="1" x14ac:dyDescent="0.35">
      <c r="A34" s="151"/>
      <c r="B34" s="144" t="s">
        <v>233</v>
      </c>
      <c r="C34" s="144"/>
      <c r="D34" s="121"/>
      <c r="E34" s="24"/>
      <c r="F34" s="24"/>
      <c r="G34" s="24"/>
      <c r="H34" s="148"/>
      <c r="I34" s="134" t="s">
        <v>346</v>
      </c>
      <c r="J34" s="135"/>
      <c r="K34" s="135"/>
      <c r="L34" s="102">
        <f>ROUND(VLOOKUP('vuosityö ja aikk laskenta'!$A$4,'vuosityö ja aikk laskenta'!$A$5:$N$14,IF('vuosityö ja aikk laskenta'!A19=1,2+'vuosityö ja aikk laskenta'!A24,8+'vuosityö ja aikk laskenta'!A24),FALSE)*(1-B35/100),2)</f>
        <v>3742.6</v>
      </c>
      <c r="M34" s="38" t="s">
        <v>16</v>
      </c>
      <c r="O34" s="190"/>
    </row>
    <row r="35" spans="1:24" ht="13.5" customHeight="1" thickBot="1" x14ac:dyDescent="0.35">
      <c r="A35" s="151"/>
      <c r="B35" s="189"/>
      <c r="C35" s="146" t="s">
        <v>166</v>
      </c>
      <c r="D35" s="139"/>
      <c r="E35" s="24"/>
      <c r="F35" s="24"/>
      <c r="G35" s="24"/>
      <c r="H35" s="148"/>
      <c r="I35" s="104" t="s">
        <v>157</v>
      </c>
      <c r="J35" s="105"/>
      <c r="K35" s="70"/>
      <c r="L35" s="106" t="str">
        <f>IF(B39=0," ",B39)</f>
        <v xml:space="preserve"> </v>
      </c>
      <c r="M35" s="108" t="s">
        <v>16</v>
      </c>
    </row>
    <row r="36" spans="1:24" ht="13.5" customHeight="1" x14ac:dyDescent="0.3">
      <c r="B36" s="288" t="s">
        <v>359</v>
      </c>
      <c r="C36" s="289"/>
      <c r="D36" s="182" t="s">
        <v>222</v>
      </c>
      <c r="E36" s="95"/>
      <c r="F36" s="141"/>
      <c r="G36" s="47"/>
      <c r="H36" s="148"/>
      <c r="I36" s="72" t="s">
        <v>355</v>
      </c>
      <c r="J36" s="26"/>
      <c r="K36" s="26"/>
      <c r="L36" s="191" t="str">
        <f>IF(L29=0," ",ROUND(ROUND(($B$39+$F$38)/125,2)*L29,2))</f>
        <v xml:space="preserve"> </v>
      </c>
      <c r="M36" s="109" t="s">
        <v>16</v>
      </c>
    </row>
    <row r="37" spans="1:24" ht="13.5" customHeight="1" thickBot="1" x14ac:dyDescent="0.35">
      <c r="A37" s="151"/>
      <c r="B37" s="290"/>
      <c r="C37" s="291"/>
      <c r="D37" s="136" t="s">
        <v>171</v>
      </c>
      <c r="E37" s="93"/>
      <c r="F37" s="93"/>
      <c r="G37" s="23"/>
      <c r="H37" s="148"/>
      <c r="I37" s="72" t="s">
        <v>356</v>
      </c>
      <c r="J37" s="26"/>
      <c r="K37" s="26"/>
      <c r="L37" s="191" t="str">
        <f>IF(L30=0," ",ROUND(ROUND(ROUND(($B$39+$F$38)/125,2)*1.5,2)*L30,2))</f>
        <v xml:space="preserve"> </v>
      </c>
      <c r="M37" s="109" t="s">
        <v>16</v>
      </c>
    </row>
    <row r="38" spans="1:24" ht="13.5" customHeight="1" thickBot="1" x14ac:dyDescent="0.35">
      <c r="A38" s="151"/>
      <c r="B38" s="93" t="s">
        <v>167</v>
      </c>
      <c r="C38" s="93"/>
      <c r="D38" s="136" t="s">
        <v>172</v>
      </c>
      <c r="E38" s="93"/>
      <c r="F38" s="19"/>
      <c r="G38" s="147" t="s">
        <v>16</v>
      </c>
      <c r="H38" s="148"/>
      <c r="I38" s="72" t="s">
        <v>158</v>
      </c>
      <c r="J38" s="26"/>
      <c r="K38" s="26"/>
      <c r="L38" s="191" t="str">
        <f>IF(L31=0," ",ROUND(ROUND(ROUND(($B$39+$F$38)/125*0.5,2)*L31,2)*L30,2))</f>
        <v xml:space="preserve"> </v>
      </c>
      <c r="M38" s="109" t="s">
        <v>16</v>
      </c>
    </row>
    <row r="39" spans="1:24" ht="13.5" customHeight="1" thickBot="1" x14ac:dyDescent="0.35">
      <c r="A39" s="151"/>
      <c r="B39" s="19"/>
      <c r="C39" s="137" t="s">
        <v>16</v>
      </c>
      <c r="D39" s="136" t="s">
        <v>174</v>
      </c>
      <c r="E39" s="93"/>
      <c r="F39" s="93"/>
      <c r="G39" s="23"/>
      <c r="H39" s="148"/>
      <c r="I39" s="74" t="s">
        <v>223</v>
      </c>
      <c r="J39" s="57"/>
      <c r="K39" s="56"/>
      <c r="L39" s="156" t="str">
        <f>IF(F38+F40=0," ",F40+F38)</f>
        <v xml:space="preserve"> </v>
      </c>
      <c r="M39" s="110" t="s">
        <v>16</v>
      </c>
    </row>
    <row r="40" spans="1:24" ht="13.5" customHeight="1" thickBot="1" x14ac:dyDescent="0.35">
      <c r="A40" s="152"/>
      <c r="B40" s="300" t="str">
        <f>IF(B39=0," ",IF(B39&lt;L34,"Liian alhainen!"," "))</f>
        <v xml:space="preserve"> </v>
      </c>
      <c r="C40" s="301"/>
      <c r="D40" s="153" t="s">
        <v>172</v>
      </c>
      <c r="E40" s="140"/>
      <c r="F40" s="19"/>
      <c r="G40" s="154" t="s">
        <v>16</v>
      </c>
      <c r="H40" s="149"/>
      <c r="I40" s="59" t="s">
        <v>109</v>
      </c>
      <c r="J40" s="58"/>
      <c r="K40" s="58"/>
      <c r="L40" s="75" t="str">
        <f>IF(B39=0," ",SUM(L35:L39))</f>
        <v xml:space="preserve"> </v>
      </c>
      <c r="M40" s="111" t="s">
        <v>16</v>
      </c>
    </row>
    <row r="41" spans="1:24" ht="13.2" customHeight="1" x14ac:dyDescent="0.3">
      <c r="A41" s="22"/>
      <c r="B41" s="27"/>
      <c r="C41" s="27"/>
      <c r="D41" s="27"/>
      <c r="E41" s="25"/>
      <c r="F41" s="25"/>
      <c r="G41" s="25"/>
      <c r="H41" s="25"/>
      <c r="I41" s="25"/>
      <c r="J41" s="25"/>
      <c r="K41" s="25"/>
      <c r="L41" s="25"/>
      <c r="M41" s="25"/>
    </row>
    <row r="42" spans="1:24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1:24" ht="12.75" customHeight="1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24" ht="13.5" customHeigh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24" ht="13.5" customHeight="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1:24" ht="13.5" customHeight="1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1:24" ht="13.5" customHeight="1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24" ht="13.5" customHeight="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W48" s="1"/>
      <c r="X48" s="1"/>
    </row>
    <row r="49" spans="1:17" ht="10.5" customHeight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ht="14.25" customHeight="1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1:17" ht="12.75" customHeight="1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1:17" ht="13.5" customHeight="1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1:17" ht="14.25" customHeight="1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1:17" ht="14.25" customHeight="1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1:17" ht="15" customHeigh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17" ht="13.5" customHeight="1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1:17" ht="9.75" customHeight="1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ht="39" customHeight="1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7" ht="13.5" customHeigh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1:17" ht="13.5" customHeight="1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1:17" ht="13.5" customHeight="1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1:17" ht="13.5" customHeight="1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1:17" ht="13.5" customHeight="1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1:17" ht="13.5" customHeight="1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1:17" ht="12.75" customHeight="1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1:17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17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1:17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 x14ac:dyDescent="0.3">
      <c r="A69" s="22"/>
      <c r="B69" s="27"/>
      <c r="C69" s="27"/>
      <c r="D69" s="27"/>
      <c r="E69" s="25"/>
      <c r="F69" s="25"/>
      <c r="G69" s="25"/>
      <c r="H69" s="25"/>
      <c r="I69" s="25"/>
      <c r="J69" s="25"/>
      <c r="K69" s="25"/>
      <c r="L69" s="25"/>
      <c r="M69" s="25"/>
    </row>
    <row r="70" spans="1:17" x14ac:dyDescent="0.3">
      <c r="A70" s="22"/>
      <c r="B70" s="27"/>
      <c r="C70" s="27"/>
      <c r="D70" s="27"/>
      <c r="E70" s="25"/>
      <c r="F70" s="25"/>
      <c r="G70" s="25"/>
      <c r="H70" s="25"/>
      <c r="I70" s="25"/>
      <c r="J70" s="25"/>
      <c r="K70" s="25"/>
      <c r="L70" s="25"/>
      <c r="M70" s="25"/>
    </row>
    <row r="71" spans="1:17" x14ac:dyDescent="0.3">
      <c r="A71" s="22"/>
      <c r="B71" s="27"/>
      <c r="C71" s="27"/>
      <c r="D71" s="27"/>
      <c r="E71" s="25"/>
      <c r="F71" s="25"/>
      <c r="G71" s="25"/>
      <c r="H71" s="25"/>
      <c r="I71" s="25"/>
      <c r="J71" s="25"/>
      <c r="K71" s="25"/>
      <c r="L71" s="25"/>
      <c r="M71" s="25"/>
    </row>
    <row r="72" spans="1:17" x14ac:dyDescent="0.3">
      <c r="A72" s="22"/>
      <c r="B72" s="27"/>
      <c r="C72" s="27"/>
      <c r="D72" s="27"/>
      <c r="E72" s="25"/>
      <c r="F72" s="25"/>
      <c r="G72" s="25"/>
      <c r="H72" s="25"/>
      <c r="I72" s="25"/>
      <c r="J72" s="25"/>
      <c r="K72" s="25"/>
      <c r="L72" s="25"/>
      <c r="M72" s="25"/>
    </row>
    <row r="73" spans="1:17" x14ac:dyDescent="0.3">
      <c r="A73" s="22"/>
      <c r="B73" s="27"/>
      <c r="C73" s="27"/>
      <c r="D73" s="27"/>
      <c r="E73" s="25"/>
      <c r="F73" s="25"/>
      <c r="G73" s="25"/>
      <c r="H73" s="25"/>
      <c r="I73" s="25"/>
      <c r="J73" s="25"/>
      <c r="K73" s="25"/>
      <c r="L73" s="25"/>
      <c r="M73" s="25"/>
    </row>
    <row r="74" spans="1:17" x14ac:dyDescent="0.3">
      <c r="A74" s="22"/>
      <c r="B74" s="27"/>
      <c r="C74" s="27"/>
      <c r="D74" s="27"/>
      <c r="E74" s="25"/>
      <c r="F74" s="25"/>
      <c r="G74" s="25"/>
      <c r="H74" s="25"/>
      <c r="I74" s="25"/>
      <c r="J74" s="25"/>
      <c r="K74" s="25"/>
      <c r="L74" s="25"/>
      <c r="M74" s="25"/>
    </row>
    <row r="75" spans="1:17" x14ac:dyDescent="0.3">
      <c r="A75" s="22"/>
      <c r="B75" s="27"/>
      <c r="C75" s="27"/>
      <c r="D75" s="27"/>
      <c r="E75" s="25"/>
      <c r="F75" s="25"/>
      <c r="G75" s="25"/>
      <c r="H75" s="25"/>
      <c r="I75" s="25"/>
      <c r="J75" s="25"/>
      <c r="K75" s="25"/>
      <c r="L75" s="25"/>
      <c r="M75" s="25"/>
    </row>
    <row r="76" spans="1:17" x14ac:dyDescent="0.3">
      <c r="A76" s="22"/>
      <c r="B76" s="27"/>
      <c r="C76" s="27"/>
      <c r="D76" s="27"/>
      <c r="E76" s="25"/>
      <c r="F76" s="25"/>
      <c r="G76" s="25"/>
      <c r="H76" s="25"/>
      <c r="I76" s="25"/>
      <c r="J76" s="25"/>
      <c r="K76" s="25"/>
      <c r="L76" s="25"/>
      <c r="M76" s="25"/>
    </row>
    <row r="77" spans="1:17" x14ac:dyDescent="0.3">
      <c r="A77" s="22"/>
      <c r="B77" s="27"/>
      <c r="C77" s="27"/>
      <c r="D77" s="27"/>
      <c r="E77" s="25"/>
      <c r="F77" s="25"/>
      <c r="G77" s="25"/>
      <c r="H77" s="25"/>
      <c r="I77" s="25"/>
      <c r="J77" s="25"/>
      <c r="K77" s="25"/>
      <c r="L77" s="25"/>
      <c r="M77" s="25"/>
    </row>
    <row r="78" spans="1:17" x14ac:dyDescent="0.3">
      <c r="A78" s="22"/>
      <c r="B78" s="27"/>
      <c r="C78" s="27"/>
      <c r="D78" s="27"/>
      <c r="E78" s="25"/>
      <c r="F78" s="25"/>
      <c r="G78" s="25"/>
      <c r="H78" s="25"/>
      <c r="I78" s="25"/>
      <c r="J78" s="25"/>
      <c r="K78" s="25"/>
      <c r="L78" s="25"/>
      <c r="M78" s="25"/>
    </row>
    <row r="79" spans="1:17" x14ac:dyDescent="0.3">
      <c r="A79" s="22"/>
      <c r="B79" s="27"/>
      <c r="C79" s="27"/>
      <c r="D79" s="27"/>
      <c r="E79" s="25"/>
      <c r="F79" s="25"/>
      <c r="G79" s="25"/>
      <c r="H79" s="25"/>
      <c r="I79" s="25"/>
      <c r="J79" s="25"/>
      <c r="K79" s="25"/>
      <c r="L79" s="25"/>
      <c r="M79" s="25"/>
    </row>
    <row r="80" spans="1:17" x14ac:dyDescent="0.3">
      <c r="A80" s="22"/>
      <c r="B80" s="27"/>
      <c r="C80" s="27"/>
      <c r="D80" s="27"/>
      <c r="E80" s="25"/>
      <c r="F80" s="25"/>
      <c r="G80" s="25"/>
      <c r="H80" s="25"/>
      <c r="I80" s="25"/>
      <c r="J80" s="25"/>
      <c r="K80" s="25"/>
      <c r="L80" s="25"/>
      <c r="M80" s="25"/>
    </row>
    <row r="81" spans="1:13" x14ac:dyDescent="0.3">
      <c r="A81" s="22"/>
      <c r="B81" s="27"/>
      <c r="C81" s="27"/>
      <c r="D81" s="27"/>
      <c r="E81" s="25"/>
      <c r="F81" s="25"/>
      <c r="G81" s="25"/>
      <c r="H81" s="25"/>
      <c r="I81" s="25"/>
      <c r="J81" s="25"/>
      <c r="K81" s="25"/>
      <c r="L81" s="25"/>
      <c r="M81" s="25"/>
    </row>
    <row r="82" spans="1:13" x14ac:dyDescent="0.3">
      <c r="A82" s="22"/>
      <c r="B82" s="27"/>
      <c r="C82" s="27"/>
      <c r="D82" s="27"/>
      <c r="E82" s="25"/>
      <c r="F82" s="25"/>
      <c r="G82" s="25"/>
      <c r="H82" s="25"/>
      <c r="I82" s="25"/>
      <c r="J82" s="25"/>
      <c r="K82" s="25"/>
      <c r="L82" s="25"/>
      <c r="M82" s="25"/>
    </row>
    <row r="83" spans="1:13" x14ac:dyDescent="0.3">
      <c r="A83" s="22"/>
      <c r="B83" s="27"/>
      <c r="C83" s="27"/>
      <c r="D83" s="27"/>
      <c r="E83" s="25"/>
      <c r="F83" s="25"/>
      <c r="G83" s="25"/>
      <c r="H83" s="25"/>
      <c r="I83" s="25"/>
      <c r="J83" s="25"/>
      <c r="K83" s="25"/>
      <c r="L83" s="25"/>
      <c r="M83" s="25"/>
    </row>
    <row r="84" spans="1:13" x14ac:dyDescent="0.3">
      <c r="A84" s="22"/>
      <c r="B84" s="27"/>
      <c r="C84" s="27"/>
      <c r="D84" s="27"/>
      <c r="E84" s="25"/>
      <c r="F84" s="25"/>
      <c r="G84" s="25"/>
      <c r="H84" s="25"/>
      <c r="I84" s="25"/>
      <c r="J84" s="25"/>
      <c r="K84" s="25"/>
      <c r="L84" s="25"/>
      <c r="M84" s="25"/>
    </row>
    <row r="85" spans="1:13" x14ac:dyDescent="0.3">
      <c r="A85" s="22"/>
      <c r="B85" s="27"/>
      <c r="C85" s="27"/>
      <c r="D85" s="27"/>
      <c r="E85" s="25"/>
      <c r="F85" s="25"/>
      <c r="G85" s="25"/>
      <c r="H85" s="25"/>
      <c r="I85" s="25"/>
      <c r="J85" s="25"/>
      <c r="K85" s="25"/>
      <c r="L85" s="25"/>
      <c r="M85" s="25"/>
    </row>
    <row r="86" spans="1:13" x14ac:dyDescent="0.3">
      <c r="A86" s="22"/>
      <c r="B86" s="27"/>
      <c r="C86" s="27"/>
      <c r="D86" s="27"/>
      <c r="E86" s="25"/>
      <c r="F86" s="25"/>
      <c r="G86" s="25"/>
      <c r="H86" s="25"/>
      <c r="I86" s="25"/>
      <c r="J86" s="25"/>
      <c r="K86" s="25"/>
      <c r="L86" s="25"/>
      <c r="M86" s="25"/>
    </row>
    <row r="87" spans="1:13" x14ac:dyDescent="0.3">
      <c r="A87" s="22"/>
      <c r="B87" s="27"/>
      <c r="C87" s="27"/>
      <c r="D87" s="27"/>
      <c r="E87" s="25"/>
      <c r="F87" s="25"/>
      <c r="G87" s="25"/>
      <c r="H87" s="25"/>
      <c r="I87" s="25"/>
      <c r="J87" s="25"/>
      <c r="K87" s="25"/>
      <c r="L87" s="25"/>
      <c r="M87" s="25"/>
    </row>
    <row r="88" spans="1:13" x14ac:dyDescent="0.3">
      <c r="A88" s="22"/>
      <c r="B88" s="27"/>
      <c r="C88" s="27"/>
      <c r="D88" s="27"/>
      <c r="E88" s="25"/>
      <c r="F88" s="25"/>
      <c r="G88" s="25"/>
      <c r="H88" s="25"/>
      <c r="I88" s="25"/>
      <c r="J88" s="25"/>
      <c r="K88" s="25"/>
      <c r="L88" s="25"/>
      <c r="M88" s="25"/>
    </row>
    <row r="89" spans="1:13" x14ac:dyDescent="0.3">
      <c r="A89" s="22"/>
      <c r="B89" s="27"/>
      <c r="C89" s="27"/>
      <c r="D89" s="27"/>
      <c r="E89" s="25"/>
      <c r="F89" s="25"/>
      <c r="G89" s="25"/>
      <c r="H89" s="25"/>
      <c r="I89" s="25"/>
      <c r="J89" s="25"/>
      <c r="K89" s="25"/>
      <c r="L89" s="25"/>
      <c r="M89" s="25"/>
    </row>
    <row r="90" spans="1:13" x14ac:dyDescent="0.3">
      <c r="A90" s="22"/>
      <c r="B90" s="27"/>
      <c r="C90" s="27"/>
      <c r="D90" s="27"/>
      <c r="E90" s="25"/>
      <c r="F90" s="25"/>
      <c r="G90" s="25"/>
      <c r="H90" s="25"/>
      <c r="I90" s="25"/>
      <c r="J90" s="25"/>
      <c r="K90" s="25"/>
      <c r="L90" s="25"/>
      <c r="M90" s="25"/>
    </row>
    <row r="91" spans="1:13" x14ac:dyDescent="0.3">
      <c r="A91" s="22"/>
      <c r="B91" s="27"/>
      <c r="C91" s="27"/>
      <c r="D91" s="27"/>
      <c r="E91" s="25"/>
      <c r="F91" s="25"/>
      <c r="G91" s="25"/>
      <c r="H91" s="25"/>
      <c r="I91" s="25"/>
      <c r="J91" s="25"/>
      <c r="K91" s="25"/>
      <c r="L91" s="25"/>
      <c r="M91" s="25"/>
    </row>
    <row r="92" spans="1:13" x14ac:dyDescent="0.3">
      <c r="A92" s="22"/>
      <c r="B92" s="27"/>
      <c r="C92" s="27"/>
      <c r="D92" s="27"/>
      <c r="E92" s="25"/>
      <c r="F92" s="25"/>
      <c r="G92" s="25"/>
      <c r="H92" s="25"/>
      <c r="I92" s="25"/>
      <c r="J92" s="25"/>
      <c r="K92" s="25"/>
      <c r="L92" s="25"/>
      <c r="M92" s="25"/>
    </row>
    <row r="93" spans="1:13" x14ac:dyDescent="0.3">
      <c r="A93" s="22"/>
      <c r="B93" s="27"/>
      <c r="C93" s="27"/>
      <c r="D93" s="27"/>
      <c r="E93" s="25"/>
      <c r="F93" s="25"/>
      <c r="G93" s="25"/>
      <c r="H93" s="25"/>
      <c r="I93" s="25"/>
      <c r="J93" s="25"/>
      <c r="K93" s="25"/>
      <c r="L93" s="25"/>
      <c r="M93" s="25"/>
    </row>
    <row r="94" spans="1:13" x14ac:dyDescent="0.3">
      <c r="A94" s="22"/>
      <c r="B94" s="27"/>
      <c r="C94" s="27"/>
      <c r="D94" s="27"/>
      <c r="E94" s="25"/>
      <c r="F94" s="25"/>
      <c r="G94" s="25"/>
      <c r="H94" s="25"/>
      <c r="I94" s="25"/>
      <c r="J94" s="25"/>
      <c r="K94" s="25"/>
      <c r="L94" s="25"/>
      <c r="M94" s="25"/>
    </row>
    <row r="95" spans="1:13" x14ac:dyDescent="0.3">
      <c r="A95" s="22"/>
      <c r="B95" s="27"/>
      <c r="C95" s="27"/>
      <c r="D95" s="27"/>
      <c r="E95" s="25"/>
      <c r="F95" s="25"/>
      <c r="G95" s="25"/>
      <c r="H95" s="25"/>
      <c r="I95" s="25"/>
      <c r="J95" s="25"/>
      <c r="K95" s="25"/>
      <c r="L95" s="25"/>
      <c r="M95" s="25"/>
    </row>
    <row r="96" spans="1:13" x14ac:dyDescent="0.3">
      <c r="A96" s="22"/>
      <c r="B96" s="27"/>
      <c r="C96" s="27"/>
      <c r="D96" s="27"/>
      <c r="E96" s="25"/>
      <c r="F96" s="25"/>
      <c r="G96" s="25"/>
      <c r="H96" s="25"/>
      <c r="I96" s="25"/>
      <c r="J96" s="25"/>
      <c r="K96" s="25"/>
      <c r="L96" s="25"/>
      <c r="M96" s="25"/>
    </row>
    <row r="97" spans="1:13" x14ac:dyDescent="0.3">
      <c r="A97" s="22"/>
      <c r="B97" s="27"/>
      <c r="C97" s="27"/>
      <c r="D97" s="27"/>
      <c r="E97" s="25"/>
      <c r="F97" s="25"/>
      <c r="G97" s="25"/>
      <c r="H97" s="25"/>
      <c r="I97" s="25"/>
      <c r="J97" s="25"/>
      <c r="K97" s="25"/>
      <c r="L97" s="25"/>
      <c r="M97" s="25"/>
    </row>
    <row r="98" spans="1:13" x14ac:dyDescent="0.3">
      <c r="A98" s="22"/>
      <c r="B98" s="27"/>
      <c r="C98" s="27"/>
      <c r="D98" s="27"/>
      <c r="E98" s="25"/>
      <c r="F98" s="25"/>
      <c r="G98" s="25"/>
      <c r="H98" s="25"/>
      <c r="I98" s="25"/>
      <c r="J98" s="25"/>
      <c r="K98" s="25"/>
      <c r="L98" s="25"/>
      <c r="M98" s="25"/>
    </row>
    <row r="99" spans="1:13" x14ac:dyDescent="0.3">
      <c r="A99" s="22"/>
      <c r="B99" s="27"/>
      <c r="C99" s="27"/>
      <c r="D99" s="27"/>
      <c r="E99" s="25"/>
      <c r="F99" s="25"/>
      <c r="G99" s="25"/>
      <c r="H99" s="25"/>
      <c r="I99" s="25"/>
      <c r="J99" s="25"/>
      <c r="K99" s="25"/>
      <c r="L99" s="25"/>
      <c r="M99" s="25"/>
    </row>
    <row r="100" spans="1:13" x14ac:dyDescent="0.3">
      <c r="A100" s="22"/>
      <c r="B100" s="27"/>
      <c r="C100" s="27"/>
      <c r="D100" s="27"/>
      <c r="E100" s="25"/>
      <c r="F100" s="25"/>
      <c r="G100" s="25"/>
      <c r="H100" s="25"/>
      <c r="I100" s="25"/>
      <c r="J100" s="25"/>
      <c r="K100" s="25"/>
      <c r="L100" s="25"/>
      <c r="M100" s="25"/>
    </row>
    <row r="101" spans="1:13" x14ac:dyDescent="0.3">
      <c r="A101" s="22"/>
      <c r="B101" s="27"/>
      <c r="C101" s="27"/>
      <c r="D101" s="27"/>
      <c r="E101" s="25"/>
      <c r="F101" s="25"/>
      <c r="G101" s="25"/>
      <c r="H101" s="25"/>
      <c r="I101" s="25"/>
      <c r="J101" s="25"/>
      <c r="K101" s="25"/>
      <c r="L101" s="25"/>
      <c r="M101" s="25"/>
    </row>
    <row r="102" spans="1:13" x14ac:dyDescent="0.3">
      <c r="A102" s="22"/>
      <c r="B102" s="27"/>
      <c r="C102" s="27"/>
      <c r="D102" s="27"/>
      <c r="E102" s="25"/>
      <c r="F102" s="25"/>
      <c r="G102" s="25"/>
      <c r="H102" s="25"/>
      <c r="I102" s="25"/>
      <c r="J102" s="25"/>
      <c r="K102" s="25"/>
      <c r="L102" s="25"/>
      <c r="M102" s="25"/>
    </row>
    <row r="103" spans="1:13" x14ac:dyDescent="0.3">
      <c r="A103" s="22"/>
      <c r="B103" s="27"/>
      <c r="C103" s="27"/>
      <c r="D103" s="27"/>
      <c r="E103" s="25"/>
      <c r="F103" s="25"/>
      <c r="G103" s="25"/>
      <c r="H103" s="25"/>
      <c r="I103" s="25"/>
      <c r="J103" s="25"/>
      <c r="K103" s="25"/>
      <c r="L103" s="25"/>
      <c r="M103" s="25"/>
    </row>
    <row r="104" spans="1:13" x14ac:dyDescent="0.3">
      <c r="A104" s="22"/>
      <c r="B104" s="27"/>
      <c r="C104" s="27"/>
      <c r="D104" s="27"/>
      <c r="E104" s="25"/>
      <c r="F104" s="25"/>
      <c r="G104" s="25"/>
      <c r="H104" s="25"/>
      <c r="I104" s="25"/>
      <c r="J104" s="25"/>
      <c r="K104" s="25"/>
      <c r="L104" s="25"/>
      <c r="M104" s="25"/>
    </row>
    <row r="105" spans="1:13" x14ac:dyDescent="0.3">
      <c r="A105" s="22"/>
      <c r="B105" s="27"/>
      <c r="C105" s="27"/>
      <c r="D105" s="27"/>
      <c r="E105" s="25"/>
      <c r="F105" s="25"/>
      <c r="G105" s="25"/>
      <c r="H105" s="25"/>
      <c r="I105" s="25"/>
      <c r="J105" s="25"/>
      <c r="K105" s="25"/>
      <c r="L105" s="25"/>
      <c r="M105" s="25"/>
    </row>
    <row r="106" spans="1:13" x14ac:dyDescent="0.3">
      <c r="A106" s="22"/>
      <c r="B106" s="27"/>
      <c r="C106" s="27"/>
      <c r="D106" s="27"/>
      <c r="E106" s="25"/>
      <c r="F106" s="25"/>
      <c r="G106" s="25"/>
      <c r="H106" s="25"/>
      <c r="I106" s="25"/>
      <c r="J106" s="25"/>
      <c r="K106" s="25"/>
      <c r="L106" s="25"/>
      <c r="M106" s="25"/>
    </row>
    <row r="107" spans="1:13" x14ac:dyDescent="0.3">
      <c r="A107" s="22"/>
      <c r="B107" s="27"/>
      <c r="C107" s="27"/>
      <c r="D107" s="27"/>
      <c r="E107" s="25"/>
      <c r="F107" s="25"/>
      <c r="G107" s="25"/>
      <c r="H107" s="25"/>
      <c r="I107" s="25"/>
      <c r="J107" s="25"/>
      <c r="K107" s="25"/>
      <c r="L107" s="25"/>
      <c r="M107" s="25"/>
    </row>
    <row r="108" spans="1:13" x14ac:dyDescent="0.3">
      <c r="A108" s="22"/>
      <c r="B108" s="27"/>
      <c r="C108" s="27"/>
      <c r="D108" s="27"/>
      <c r="E108" s="25"/>
      <c r="F108" s="25"/>
      <c r="G108" s="25"/>
      <c r="H108" s="25"/>
      <c r="I108" s="25"/>
      <c r="J108" s="25"/>
      <c r="K108" s="25"/>
      <c r="L108" s="25"/>
      <c r="M108" s="25"/>
    </row>
    <row r="109" spans="1:13" x14ac:dyDescent="0.3">
      <c r="A109" s="22"/>
      <c r="B109" s="27"/>
      <c r="C109" s="27"/>
      <c r="D109" s="27"/>
      <c r="E109" s="25"/>
      <c r="F109" s="25"/>
      <c r="G109" s="25"/>
      <c r="H109" s="25"/>
      <c r="I109" s="25"/>
      <c r="J109" s="25"/>
      <c r="K109" s="25"/>
      <c r="L109" s="25"/>
      <c r="M109" s="25"/>
    </row>
    <row r="110" spans="1:13" x14ac:dyDescent="0.3">
      <c r="A110" s="22"/>
      <c r="B110" s="27"/>
      <c r="C110" s="27"/>
      <c r="D110" s="27"/>
      <c r="E110" s="25"/>
      <c r="F110" s="25"/>
      <c r="G110" s="25"/>
      <c r="H110" s="25"/>
      <c r="I110" s="25"/>
      <c r="J110" s="25"/>
      <c r="K110" s="25"/>
      <c r="L110" s="25"/>
      <c r="M110" s="25"/>
    </row>
    <row r="111" spans="1:13" x14ac:dyDescent="0.3">
      <c r="A111" s="22"/>
      <c r="B111" s="27"/>
      <c r="C111" s="27"/>
      <c r="D111" s="27"/>
      <c r="E111" s="25"/>
      <c r="F111" s="25"/>
      <c r="G111" s="25"/>
      <c r="H111" s="25"/>
      <c r="I111" s="25"/>
      <c r="J111" s="25"/>
      <c r="K111" s="25"/>
      <c r="L111" s="25"/>
      <c r="M111" s="25"/>
    </row>
    <row r="112" spans="1:13" x14ac:dyDescent="0.3">
      <c r="A112" s="22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</row>
    <row r="113" spans="1:13" x14ac:dyDescent="0.3">
      <c r="A113" s="22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</row>
    <row r="114" spans="1:13" x14ac:dyDescent="0.3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</row>
    <row r="115" spans="1:13" x14ac:dyDescent="0.3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</row>
    <row r="116" spans="1:13" x14ac:dyDescent="0.3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</row>
    <row r="117" spans="1:13" x14ac:dyDescent="0.3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</row>
    <row r="118" spans="1:13" x14ac:dyDescent="0.3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</row>
  </sheetData>
  <sheetProtection sheet="1" selectLockedCells="1"/>
  <protectedRanges>
    <protectedRange password="CD44" sqref="I8 I48" name="syöttö3"/>
    <protectedRange password="CD64" sqref="F6 K8 K13 F46 K48 K53" name="syöttö2"/>
    <protectedRange password="CD04" sqref="B13 B53" name="syöttö1"/>
  </protectedRanges>
  <customSheetViews>
    <customSheetView guid="{47112B69-009E-46FE-82EA-A4F5B6C4FF1D}" showRuler="0">
      <selection activeCell="G13" sqref="G13"/>
      <pageMargins left="0.39370078740157483" right="0.39370078740157483" top="0.39370078740157483" bottom="0.39370078740157483" header="0.51181102362204722" footer="0.51181102362204722"/>
      <pageSetup paperSize="9" scale="85" orientation="landscape" r:id="rId1"/>
      <headerFooter alignWithMargins="0"/>
    </customSheetView>
  </customSheetViews>
  <mergeCells count="19">
    <mergeCell ref="K3:M3"/>
    <mergeCell ref="K4:M4"/>
    <mergeCell ref="K11:L12"/>
    <mergeCell ref="E8:G11"/>
    <mergeCell ref="F23:G23"/>
    <mergeCell ref="B18:I18"/>
    <mergeCell ref="B36:C37"/>
    <mergeCell ref="H32:M33"/>
    <mergeCell ref="I5:J7"/>
    <mergeCell ref="D9:D10"/>
    <mergeCell ref="B40:C40"/>
    <mergeCell ref="B19:F19"/>
    <mergeCell ref="F22:G22"/>
    <mergeCell ref="E28:G28"/>
    <mergeCell ref="E29:G29"/>
    <mergeCell ref="I31:K31"/>
    <mergeCell ref="B15:D17"/>
    <mergeCell ref="B7:D8"/>
    <mergeCell ref="B11:D12"/>
  </mergeCells>
  <phoneticPr fontId="2" type="noConversion"/>
  <pageMargins left="0.39370078740157483" right="0.39370078740157483" top="0.39370078740157483" bottom="0.39370078740157483" header="0.51181102362204722" footer="0.51181102362204722"/>
  <pageSetup paperSize="9" scale="85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5" name="List Box 11">
              <controlPr defaultSize="0" autoFill="0" autoLine="0" autoPict="0">
                <anchor moveWithCells="1">
                  <from>
                    <xdr:col>0</xdr:col>
                    <xdr:colOff>0</xdr:colOff>
                    <xdr:row>2</xdr:row>
                    <xdr:rowOff>137160</xdr:rowOff>
                  </from>
                  <to>
                    <xdr:col>0</xdr:col>
                    <xdr:colOff>3520440</xdr:colOff>
                    <xdr:row>24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6" name="List Box 44">
              <controlPr defaultSize="0" autoFill="0" autoLine="0" autoPict="0">
                <anchor moveWithCells="1">
                  <from>
                    <xdr:col>1</xdr:col>
                    <xdr:colOff>30480</xdr:colOff>
                    <xdr:row>4</xdr:row>
                    <xdr:rowOff>0</xdr:rowOff>
                  </from>
                  <to>
                    <xdr:col>2</xdr:col>
                    <xdr:colOff>22860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7" name="List Box 53">
              <controlPr defaultSize="0" autoFill="0" autoLine="0" autoPict="0">
                <anchor moveWithCells="1">
                  <from>
                    <xdr:col>1</xdr:col>
                    <xdr:colOff>7620</xdr:colOff>
                    <xdr:row>8</xdr:row>
                    <xdr:rowOff>22860</xdr:rowOff>
                  </from>
                  <to>
                    <xdr:col>2</xdr:col>
                    <xdr:colOff>22860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8" name="List Box 60">
              <controlPr defaultSize="0" autoFill="0" autoLine="0" autoPict="0">
                <anchor moveWithCells="1">
                  <from>
                    <xdr:col>10</xdr:col>
                    <xdr:colOff>60960</xdr:colOff>
                    <xdr:row>4</xdr:row>
                    <xdr:rowOff>7620</xdr:rowOff>
                  </from>
                  <to>
                    <xdr:col>11</xdr:col>
                    <xdr:colOff>83820</xdr:colOff>
                    <xdr:row>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9" name="List Box 66">
              <controlPr defaultSize="0" autoFill="0" autoLine="0" autoPict="0">
                <anchor moveWithCells="1">
                  <from>
                    <xdr:col>1</xdr:col>
                    <xdr:colOff>7620</xdr:colOff>
                    <xdr:row>30</xdr:row>
                    <xdr:rowOff>38100</xdr:rowOff>
                  </from>
                  <to>
                    <xdr:col>2</xdr:col>
                    <xdr:colOff>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0" name="List Box 69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6</xdr:col>
                    <xdr:colOff>548640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1" name="List Box 73">
              <controlPr defaultSize="0" autoFill="0" autoLine="0" autoPict="0">
                <anchor moveWithCells="1">
                  <from>
                    <xdr:col>0</xdr:col>
                    <xdr:colOff>22860</xdr:colOff>
                    <xdr:row>28</xdr:row>
                    <xdr:rowOff>68580</xdr:rowOff>
                  </from>
                  <to>
                    <xdr:col>0</xdr:col>
                    <xdr:colOff>3528060</xdr:colOff>
                    <xdr:row>35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2" name="List Box 82">
              <controlPr defaultSize="0" autoFill="0" autoLine="0" autoPict="0">
                <anchor moveWithCells="1">
                  <from>
                    <xdr:col>11</xdr:col>
                    <xdr:colOff>289560</xdr:colOff>
                    <xdr:row>17</xdr:row>
                    <xdr:rowOff>152400</xdr:rowOff>
                  </from>
                  <to>
                    <xdr:col>12</xdr:col>
                    <xdr:colOff>624840</xdr:colOff>
                    <xdr:row>18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3"/>
  <dimension ref="A2:N15"/>
  <sheetViews>
    <sheetView zoomScaleNormal="100" workbookViewId="0">
      <selection activeCell="C157" sqref="C157"/>
    </sheetView>
  </sheetViews>
  <sheetFormatPr defaultColWidth="9.109375" defaultRowHeight="13.8" x14ac:dyDescent="0.3"/>
  <cols>
    <col min="1" max="1" width="5.44140625" style="1" customWidth="1"/>
    <col min="2" max="2" width="16" style="1" customWidth="1"/>
    <col min="3" max="16384" width="9.109375" style="1"/>
  </cols>
  <sheetData>
    <row r="2" spans="1:14" ht="14.4" thickBot="1" x14ac:dyDescent="0.35"/>
    <row r="3" spans="1:14" ht="14.4" thickBot="1" x14ac:dyDescent="0.35">
      <c r="A3" s="18">
        <v>1</v>
      </c>
      <c r="B3" s="1" t="s">
        <v>0</v>
      </c>
      <c r="C3" s="3">
        <v>2</v>
      </c>
      <c r="D3" s="1" t="s">
        <v>6</v>
      </c>
      <c r="G3" s="3">
        <v>1</v>
      </c>
      <c r="H3" s="1" t="s">
        <v>82</v>
      </c>
      <c r="J3" s="3">
        <v>1</v>
      </c>
      <c r="K3" s="1" t="s">
        <v>97</v>
      </c>
      <c r="M3" s="3">
        <v>2</v>
      </c>
      <c r="N3" s="1" t="s">
        <v>508</v>
      </c>
    </row>
    <row r="4" spans="1:14" x14ac:dyDescent="0.3">
      <c r="A4" s="1">
        <v>1</v>
      </c>
      <c r="B4" s="1" t="s">
        <v>2</v>
      </c>
      <c r="C4" s="1">
        <v>1</v>
      </c>
      <c r="D4" s="1" t="s">
        <v>7</v>
      </c>
      <c r="G4" s="1">
        <v>1</v>
      </c>
      <c r="H4" s="1" t="s">
        <v>11</v>
      </c>
      <c r="J4" s="1">
        <v>1</v>
      </c>
      <c r="K4" s="1" t="s">
        <v>104</v>
      </c>
      <c r="M4" s="1">
        <v>1</v>
      </c>
      <c r="N4" s="1" t="s">
        <v>505</v>
      </c>
    </row>
    <row r="5" spans="1:14" x14ac:dyDescent="0.3">
      <c r="A5" s="1">
        <v>2</v>
      </c>
      <c r="B5" s="1" t="s">
        <v>3</v>
      </c>
      <c r="C5" s="1">
        <v>2</v>
      </c>
      <c r="D5" s="1" t="s">
        <v>8</v>
      </c>
      <c r="G5" s="1">
        <v>2</v>
      </c>
      <c r="H5" s="1" t="s">
        <v>74</v>
      </c>
      <c r="J5" s="1">
        <v>2</v>
      </c>
      <c r="K5" s="1" t="s">
        <v>98</v>
      </c>
      <c r="M5" s="1">
        <v>2</v>
      </c>
      <c r="N5" s="1" t="s">
        <v>506</v>
      </c>
    </row>
    <row r="6" spans="1:14" x14ac:dyDescent="0.3">
      <c r="J6" s="1">
        <v>3</v>
      </c>
      <c r="K6" s="1" t="s">
        <v>99</v>
      </c>
      <c r="M6" s="1">
        <v>3</v>
      </c>
      <c r="N6" s="1" t="s">
        <v>99</v>
      </c>
    </row>
    <row r="7" spans="1:14" x14ac:dyDescent="0.3">
      <c r="G7" s="1">
        <f>IF(KÄYTTÖTAULU!B13=0,0,1)</f>
        <v>0</v>
      </c>
      <c r="J7" s="1">
        <v>4</v>
      </c>
      <c r="K7" s="1" t="s">
        <v>100</v>
      </c>
    </row>
    <row r="8" spans="1:14" x14ac:dyDescent="0.3">
      <c r="J8" s="1">
        <v>5</v>
      </c>
      <c r="K8" s="1" t="s">
        <v>101</v>
      </c>
    </row>
    <row r="9" spans="1:14" x14ac:dyDescent="0.3">
      <c r="J9" s="1">
        <v>6</v>
      </c>
      <c r="K9" s="1" t="s">
        <v>102</v>
      </c>
    </row>
    <row r="11" spans="1:14" x14ac:dyDescent="0.3">
      <c r="A11" s="1">
        <v>1</v>
      </c>
    </row>
    <row r="12" spans="1:14" x14ac:dyDescent="0.3">
      <c r="B12" s="1" t="s">
        <v>505</v>
      </c>
    </row>
    <row r="13" spans="1:14" x14ac:dyDescent="0.3">
      <c r="B13" s="1" t="s">
        <v>506</v>
      </c>
    </row>
    <row r="14" spans="1:14" x14ac:dyDescent="0.3">
      <c r="B14" s="1" t="s">
        <v>98</v>
      </c>
    </row>
    <row r="15" spans="1:14" x14ac:dyDescent="0.3">
      <c r="B15" s="1" t="s">
        <v>507</v>
      </c>
    </row>
  </sheetData>
  <customSheetViews>
    <customSheetView guid="{47112B69-009E-46FE-82EA-A4F5B6C4FF1D}" state="hidden" showRuler="0">
      <selection activeCell="D11" sqref="D11"/>
      <pageMargins left="0.75" right="0.75" top="1" bottom="1" header="0.4921259845" footer="0.4921259845"/>
      <headerFooter alignWithMargins="0"/>
    </customSheetView>
  </customSheetViews>
  <phoneticPr fontId="2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4"/>
  <dimension ref="A1:L222"/>
  <sheetViews>
    <sheetView topLeftCell="A121" workbookViewId="0">
      <selection activeCell="C157" sqref="C157"/>
    </sheetView>
  </sheetViews>
  <sheetFormatPr defaultRowHeight="13.8" x14ac:dyDescent="0.3"/>
  <cols>
    <col min="1" max="1" width="9.6640625" style="1" customWidth="1"/>
    <col min="2" max="2" width="58.44140625" style="1" customWidth="1"/>
    <col min="3" max="3" width="13.88671875" customWidth="1"/>
    <col min="7" max="7" width="11.109375" bestFit="1" customWidth="1"/>
    <col min="8" max="8" width="12" bestFit="1" customWidth="1"/>
    <col min="9" max="9" width="14.88671875" customWidth="1"/>
  </cols>
  <sheetData>
    <row r="1" spans="1:12" x14ac:dyDescent="0.3">
      <c r="A1" s="1" t="s">
        <v>81</v>
      </c>
      <c r="B1" s="3" t="s">
        <v>79</v>
      </c>
      <c r="C1" t="s">
        <v>110</v>
      </c>
    </row>
    <row r="2" spans="1:12" x14ac:dyDescent="0.3">
      <c r="A2" s="1">
        <f>IF(KÄYTTÖTAULU!F6=0,0,IF(KÄYTTÖTAULU!$F$6&lt;KÄYTTÖTAULU!$G$19,1,0))</f>
        <v>0</v>
      </c>
      <c r="B2" s="1" t="s">
        <v>78</v>
      </c>
      <c r="C2" t="str">
        <f>IF(A2=1,B2," ")</f>
        <v xml:space="preserve"> </v>
      </c>
    </row>
    <row r="3" spans="1:12" x14ac:dyDescent="0.3">
      <c r="A3" s="1">
        <f>IF(A4=1,0,IF(KÄYTTÖTAULU!$B$13&gt;VLOOKUP(virheet!A10,laskenta!$A$6:$D$121,2+'muut muuttujat'!A3,FALSE),1,0))</f>
        <v>0</v>
      </c>
      <c r="B3" s="1" t="s">
        <v>150</v>
      </c>
      <c r="C3" t="str">
        <f>IF(A3=1,B3," ")</f>
        <v xml:space="preserve"> </v>
      </c>
    </row>
    <row r="4" spans="1:12" x14ac:dyDescent="0.3">
      <c r="A4" s="1">
        <f>VLOOKUP(A10,$A$12:$E$126,5,FALSE)</f>
        <v>0</v>
      </c>
      <c r="B4" s="1" t="s">
        <v>151</v>
      </c>
      <c r="C4" t="str">
        <f>IF(A4=1,B4," ")</f>
        <v xml:space="preserve"> </v>
      </c>
    </row>
    <row r="5" spans="1:12" x14ac:dyDescent="0.3">
      <c r="A5" s="1">
        <f>IF(KÄYTTÖTAULU!B13=0,0,IF(A4=1,0,IF(COUNTA(KÄYTTÖTAULU!B13)+'muut muuttujat'!G3=2,1,0)))</f>
        <v>0</v>
      </c>
      <c r="B5" s="1" t="s">
        <v>83</v>
      </c>
      <c r="C5" t="str">
        <f>IF(A5=1,B5," ")</f>
        <v xml:space="preserve"> </v>
      </c>
    </row>
    <row r="6" spans="1:12" x14ac:dyDescent="0.3">
      <c r="A6" s="1">
        <f>SUM(A2:A5)</f>
        <v>0</v>
      </c>
      <c r="B6" s="1" t="s">
        <v>84</v>
      </c>
    </row>
    <row r="7" spans="1:12" ht="15.6" x14ac:dyDescent="0.3">
      <c r="A7" s="78">
        <f>IF(KÄYTTÖTAULU!F6&gt;0,0,1)+IF(KÄYTTÖTAULU!I8&gt;0,0,1)+IF(COUNTA(KÄYTTÖTAULU!I14),0,1)+IF(COUNTA(KÄYTTÖTAULU!I16)&gt;0,0,1)+IF(COUNTA(KÄYTTÖTAULU!K13)&gt;0,0,1)+A6</f>
        <v>5</v>
      </c>
      <c r="B7" s="77" t="s">
        <v>111</v>
      </c>
      <c r="C7" t="str">
        <f>IF(A7=0,B7," ")</f>
        <v xml:space="preserve"> </v>
      </c>
    </row>
    <row r="8" spans="1:12" ht="51" customHeight="1" x14ac:dyDescent="0.3"/>
    <row r="9" spans="1:12" ht="14.4" thickBot="1" x14ac:dyDescent="0.35">
      <c r="A9" s="1" t="s">
        <v>5</v>
      </c>
    </row>
    <row r="10" spans="1:12" ht="14.4" thickBot="1" x14ac:dyDescent="0.35">
      <c r="A10" s="16">
        <f>laskenta!A4</f>
        <v>1</v>
      </c>
      <c r="B10" s="7" t="s">
        <v>1</v>
      </c>
      <c r="F10">
        <f>VLOOKUP(A10,$A$12:$F$127,6,FALSE)</f>
        <v>0</v>
      </c>
      <c r="G10">
        <f>VLOOKUP(A10,$A$12:$G$127,7,FALSE)</f>
        <v>0</v>
      </c>
      <c r="H10">
        <f>VLOOKUP($A$10,$A$12:$H$127,8,FALSE)</f>
        <v>0</v>
      </c>
      <c r="I10">
        <f>VLOOKUP($A$10,$A$12:$I$127,9,FALSE)</f>
        <v>0</v>
      </c>
      <c r="J10">
        <f>VLOOKUP($A$10,$A$12:$J$127,10,FALSE)</f>
        <v>0</v>
      </c>
    </row>
    <row r="11" spans="1:12" x14ac:dyDescent="0.3">
      <c r="B11" s="3" t="s">
        <v>4</v>
      </c>
      <c r="C11" t="s">
        <v>80</v>
      </c>
      <c r="D11" t="s">
        <v>77</v>
      </c>
      <c r="E11" t="s">
        <v>81</v>
      </c>
      <c r="F11" t="s">
        <v>147</v>
      </c>
      <c r="G11" t="s">
        <v>148</v>
      </c>
      <c r="H11" t="s">
        <v>149</v>
      </c>
      <c r="I11" t="s">
        <v>218</v>
      </c>
      <c r="J11" t="s">
        <v>219</v>
      </c>
    </row>
    <row r="12" spans="1:12" x14ac:dyDescent="0.3">
      <c r="A12" s="1">
        <v>1</v>
      </c>
      <c r="B12" s="9" t="s">
        <v>117</v>
      </c>
      <c r="C12">
        <f>IF('muut muuttujat'!$G$3=2,1,0)</f>
        <v>0</v>
      </c>
      <c r="E12">
        <f t="shared" ref="E12:E85" si="0">IF(C12+D12&gt;1,1,0)</f>
        <v>0</v>
      </c>
      <c r="F12" s="9"/>
      <c r="K12" s="1"/>
      <c r="L12" s="9"/>
    </row>
    <row r="13" spans="1:12" x14ac:dyDescent="0.3">
      <c r="A13" s="1">
        <v>2</v>
      </c>
      <c r="B13" s="9" t="s">
        <v>118</v>
      </c>
      <c r="C13">
        <f>IF('muut muuttujat'!$G$3=2,1,0)</f>
        <v>0</v>
      </c>
      <c r="E13">
        <f t="shared" si="0"/>
        <v>0</v>
      </c>
      <c r="F13" s="9"/>
      <c r="K13" s="1"/>
      <c r="L13" s="9"/>
    </row>
    <row r="14" spans="1:12" x14ac:dyDescent="0.3">
      <c r="A14" s="1">
        <v>3</v>
      </c>
      <c r="B14" s="9" t="s">
        <v>353</v>
      </c>
      <c r="C14">
        <f>IF('muut muuttujat'!$G$3=2,1,0)</f>
        <v>0</v>
      </c>
      <c r="E14">
        <f t="shared" si="0"/>
        <v>0</v>
      </c>
      <c r="F14" s="9"/>
      <c r="K14" s="1"/>
      <c r="L14" s="9"/>
    </row>
    <row r="15" spans="1:12" x14ac:dyDescent="0.3">
      <c r="A15" s="1">
        <v>4</v>
      </c>
      <c r="B15" s="9" t="s">
        <v>352</v>
      </c>
      <c r="C15">
        <v>0</v>
      </c>
      <c r="E15">
        <v>0</v>
      </c>
      <c r="F15" s="9"/>
      <c r="K15" s="1"/>
      <c r="L15" s="9"/>
    </row>
    <row r="16" spans="1:12" x14ac:dyDescent="0.3">
      <c r="A16" s="1">
        <v>5</v>
      </c>
      <c r="B16" s="9" t="s">
        <v>119</v>
      </c>
      <c r="C16">
        <f>IF('muut muuttujat'!$G$3=2,1,0)</f>
        <v>0</v>
      </c>
      <c r="E16">
        <f t="shared" si="0"/>
        <v>0</v>
      </c>
      <c r="F16" s="9"/>
      <c r="K16" s="1"/>
      <c r="L16" s="9"/>
    </row>
    <row r="17" spans="1:12" x14ac:dyDescent="0.3">
      <c r="A17" s="1">
        <v>6</v>
      </c>
      <c r="B17" s="9" t="s">
        <v>120</v>
      </c>
      <c r="C17">
        <f>IF('muut muuttujat'!$G$3=2,1,0)</f>
        <v>0</v>
      </c>
      <c r="E17">
        <f t="shared" si="0"/>
        <v>0</v>
      </c>
      <c r="F17" s="9"/>
      <c r="K17" s="1"/>
      <c r="L17" s="9"/>
    </row>
    <row r="18" spans="1:12" x14ac:dyDescent="0.3">
      <c r="A18" s="1">
        <v>7</v>
      </c>
      <c r="B18" s="9" t="s">
        <v>121</v>
      </c>
      <c r="C18">
        <f>IF('muut muuttujat'!$G$3=2,1,0)</f>
        <v>0</v>
      </c>
      <c r="E18">
        <f t="shared" si="0"/>
        <v>0</v>
      </c>
      <c r="F18" s="9"/>
      <c r="K18" s="1"/>
      <c r="L18" s="9"/>
    </row>
    <row r="19" spans="1:12" x14ac:dyDescent="0.3">
      <c r="A19" s="1">
        <v>8</v>
      </c>
      <c r="B19" s="9" t="s">
        <v>354</v>
      </c>
      <c r="C19">
        <f>IF('muut muuttujat'!$G$3=2,1,0)</f>
        <v>0</v>
      </c>
      <c r="E19">
        <f t="shared" si="0"/>
        <v>0</v>
      </c>
      <c r="F19" s="9"/>
      <c r="K19" s="1"/>
      <c r="L19" s="9"/>
    </row>
    <row r="20" spans="1:12" x14ac:dyDescent="0.3">
      <c r="A20" s="1">
        <v>9</v>
      </c>
      <c r="B20" s="9" t="s">
        <v>485</v>
      </c>
      <c r="C20">
        <v>0</v>
      </c>
      <c r="E20">
        <v>0</v>
      </c>
      <c r="F20" s="9"/>
      <c r="K20" s="1"/>
      <c r="L20" s="9"/>
    </row>
    <row r="21" spans="1:12" x14ac:dyDescent="0.3">
      <c r="A21" s="1">
        <v>10</v>
      </c>
      <c r="B21" s="9" t="s">
        <v>484</v>
      </c>
      <c r="C21">
        <v>0</v>
      </c>
      <c r="E21">
        <v>0</v>
      </c>
      <c r="F21" s="9"/>
      <c r="K21" s="1"/>
      <c r="L21" s="9"/>
    </row>
    <row r="22" spans="1:12" x14ac:dyDescent="0.3">
      <c r="A22" s="1">
        <v>11</v>
      </c>
      <c r="B22" s="9" t="s">
        <v>122</v>
      </c>
      <c r="C22">
        <f>IF('muut muuttujat'!$G$3=2,1,0)</f>
        <v>0</v>
      </c>
      <c r="E22">
        <f t="shared" si="0"/>
        <v>0</v>
      </c>
      <c r="F22" s="9"/>
      <c r="K22" s="1"/>
      <c r="L22" s="9"/>
    </row>
    <row r="23" spans="1:12" x14ac:dyDescent="0.3">
      <c r="A23" s="1">
        <v>12</v>
      </c>
      <c r="B23" s="9" t="s">
        <v>123</v>
      </c>
      <c r="C23">
        <f>IF('muut muuttujat'!$G$3=2,1,0)</f>
        <v>0</v>
      </c>
      <c r="E23">
        <f t="shared" si="0"/>
        <v>0</v>
      </c>
      <c r="F23" s="9"/>
      <c r="K23" s="1"/>
      <c r="L23" s="9"/>
    </row>
    <row r="24" spans="1:12" x14ac:dyDescent="0.3">
      <c r="A24" s="1">
        <v>13</v>
      </c>
      <c r="B24" s="9" t="s">
        <v>124</v>
      </c>
      <c r="C24">
        <f>IF('muut muuttujat'!$G$3=2,1,0)</f>
        <v>0</v>
      </c>
      <c r="E24">
        <f t="shared" si="0"/>
        <v>0</v>
      </c>
      <c r="F24" s="9"/>
      <c r="K24" s="1"/>
      <c r="L24" s="9"/>
    </row>
    <row r="25" spans="1:12" x14ac:dyDescent="0.3">
      <c r="A25" s="1">
        <v>14</v>
      </c>
      <c r="B25" s="9" t="s">
        <v>125</v>
      </c>
      <c r="C25">
        <f>IF('muut muuttujat'!$G$3=2,1,0)</f>
        <v>0</v>
      </c>
      <c r="E25">
        <f t="shared" si="0"/>
        <v>0</v>
      </c>
      <c r="F25" s="9"/>
      <c r="K25" s="1"/>
      <c r="L25" s="9"/>
    </row>
    <row r="26" spans="1:12" x14ac:dyDescent="0.3">
      <c r="A26" s="1">
        <v>15</v>
      </c>
      <c r="B26" s="9" t="s">
        <v>126</v>
      </c>
      <c r="C26">
        <f>IF('muut muuttujat'!$G$3=2,1,0)</f>
        <v>0</v>
      </c>
      <c r="E26">
        <f t="shared" si="0"/>
        <v>0</v>
      </c>
      <c r="F26" s="9"/>
      <c r="G26">
        <v>1</v>
      </c>
      <c r="K26" s="1"/>
      <c r="L26" s="9"/>
    </row>
    <row r="27" spans="1:12" x14ac:dyDescent="0.3">
      <c r="A27" s="1">
        <v>16</v>
      </c>
      <c r="B27" s="9" t="s">
        <v>127</v>
      </c>
      <c r="C27">
        <f>IF('muut muuttujat'!$G$3=2,1,0)</f>
        <v>0</v>
      </c>
      <c r="E27">
        <f t="shared" si="0"/>
        <v>0</v>
      </c>
      <c r="F27" s="9"/>
      <c r="G27">
        <v>1</v>
      </c>
      <c r="K27" s="1"/>
      <c r="L27" s="9"/>
    </row>
    <row r="28" spans="1:12" x14ac:dyDescent="0.3">
      <c r="A28" s="1">
        <v>17</v>
      </c>
      <c r="B28" s="9" t="s">
        <v>128</v>
      </c>
      <c r="C28">
        <f>IF('muut muuttujat'!$G$3=2,1,0)</f>
        <v>0</v>
      </c>
      <c r="D28">
        <v>1</v>
      </c>
      <c r="E28">
        <f t="shared" si="0"/>
        <v>0</v>
      </c>
      <c r="F28" s="9"/>
      <c r="K28" s="1"/>
      <c r="L28" s="9"/>
    </row>
    <row r="29" spans="1:12" x14ac:dyDescent="0.3">
      <c r="A29" s="1">
        <v>18</v>
      </c>
      <c r="B29" s="9" t="s">
        <v>129</v>
      </c>
      <c r="C29">
        <f>IF('muut muuttujat'!$G$3=2,1,0)</f>
        <v>0</v>
      </c>
      <c r="D29">
        <v>1</v>
      </c>
      <c r="E29">
        <f t="shared" si="0"/>
        <v>0</v>
      </c>
      <c r="F29" s="9"/>
      <c r="K29" s="1"/>
      <c r="L29" s="9"/>
    </row>
    <row r="30" spans="1:12" x14ac:dyDescent="0.3">
      <c r="A30" s="1">
        <v>19</v>
      </c>
      <c r="B30" s="9" t="s">
        <v>130</v>
      </c>
      <c r="C30">
        <f>IF('muut muuttujat'!$G$3=2,1,0)</f>
        <v>0</v>
      </c>
      <c r="D30">
        <v>1</v>
      </c>
      <c r="E30">
        <f t="shared" si="0"/>
        <v>0</v>
      </c>
      <c r="F30" s="9"/>
      <c r="K30" s="1"/>
      <c r="L30" s="9"/>
    </row>
    <row r="31" spans="1:12" x14ac:dyDescent="0.3">
      <c r="A31" s="1">
        <v>20</v>
      </c>
      <c r="B31" s="9" t="s">
        <v>131</v>
      </c>
      <c r="C31">
        <f>IF('muut muuttujat'!$G$3=2,1,0)</f>
        <v>0</v>
      </c>
      <c r="E31">
        <f t="shared" si="0"/>
        <v>0</v>
      </c>
      <c r="F31" s="9"/>
      <c r="G31">
        <v>1</v>
      </c>
      <c r="K31" s="1"/>
      <c r="L31" s="9"/>
    </row>
    <row r="32" spans="1:12" x14ac:dyDescent="0.3">
      <c r="A32" s="1">
        <v>21</v>
      </c>
      <c r="B32" s="9" t="s">
        <v>488</v>
      </c>
      <c r="C32">
        <f>IF('muut muuttujat'!$G$3=2,1,0)</f>
        <v>0</v>
      </c>
      <c r="D32">
        <v>1</v>
      </c>
      <c r="E32">
        <f>IF(C32+D32&gt;1,1,0)</f>
        <v>0</v>
      </c>
      <c r="F32" s="9"/>
      <c r="K32" s="1"/>
      <c r="L32" s="9"/>
    </row>
    <row r="33" spans="1:12" x14ac:dyDescent="0.3">
      <c r="A33" s="1">
        <v>22</v>
      </c>
      <c r="B33" s="9" t="s">
        <v>489</v>
      </c>
      <c r="C33">
        <f>IF('muut muuttujat'!$G$3=2,1,0)</f>
        <v>0</v>
      </c>
      <c r="E33">
        <f>IF(C33+D33&gt;1,1,0)</f>
        <v>0</v>
      </c>
      <c r="F33" s="9"/>
      <c r="G33">
        <v>1</v>
      </c>
      <c r="K33" s="1"/>
      <c r="L33" s="9"/>
    </row>
    <row r="34" spans="1:12" x14ac:dyDescent="0.3">
      <c r="A34" s="1">
        <v>23</v>
      </c>
      <c r="B34" s="9" t="s">
        <v>486</v>
      </c>
      <c r="C34">
        <f>IF('muut muuttujat'!$G$3=2,1,0)</f>
        <v>0</v>
      </c>
      <c r="D34">
        <v>1</v>
      </c>
      <c r="E34">
        <f>IF(C34+D34&gt;1,1,0)</f>
        <v>0</v>
      </c>
      <c r="F34" s="9"/>
      <c r="K34" s="1"/>
      <c r="L34" s="9"/>
    </row>
    <row r="35" spans="1:12" x14ac:dyDescent="0.3">
      <c r="A35" s="1">
        <v>24</v>
      </c>
      <c r="B35" s="9" t="s">
        <v>487</v>
      </c>
      <c r="C35">
        <f>IF('muut muuttujat'!$G$3=2,1,0)</f>
        <v>0</v>
      </c>
      <c r="E35">
        <f>IF(C35+D35&gt;1,1,0)</f>
        <v>0</v>
      </c>
      <c r="F35" s="9"/>
      <c r="G35">
        <v>1</v>
      </c>
      <c r="K35" s="1"/>
      <c r="L35" s="9"/>
    </row>
    <row r="36" spans="1:12" x14ac:dyDescent="0.3">
      <c r="A36" s="1">
        <v>25</v>
      </c>
      <c r="B36" s="9" t="s">
        <v>457</v>
      </c>
      <c r="C36">
        <v>0</v>
      </c>
      <c r="D36">
        <v>1</v>
      </c>
      <c r="E36">
        <v>0</v>
      </c>
      <c r="F36" s="9"/>
      <c r="K36" s="1"/>
      <c r="L36" s="9"/>
    </row>
    <row r="37" spans="1:12" x14ac:dyDescent="0.3">
      <c r="A37" s="1">
        <v>26</v>
      </c>
      <c r="B37" s="9" t="s">
        <v>458</v>
      </c>
      <c r="C37">
        <v>0</v>
      </c>
      <c r="E37">
        <v>0</v>
      </c>
      <c r="F37" s="9"/>
      <c r="G37">
        <v>1</v>
      </c>
      <c r="K37" s="1"/>
      <c r="L37" s="9"/>
    </row>
    <row r="38" spans="1:12" x14ac:dyDescent="0.3">
      <c r="A38" s="1">
        <v>27</v>
      </c>
      <c r="B38" s="9" t="s">
        <v>490</v>
      </c>
      <c r="C38">
        <v>0</v>
      </c>
      <c r="D38">
        <v>1</v>
      </c>
      <c r="E38">
        <v>0</v>
      </c>
      <c r="F38" s="9"/>
      <c r="K38" s="1"/>
      <c r="L38" s="9"/>
    </row>
    <row r="39" spans="1:12" x14ac:dyDescent="0.3">
      <c r="A39" s="1">
        <v>28</v>
      </c>
      <c r="B39" s="9" t="s">
        <v>491</v>
      </c>
      <c r="C39">
        <v>0</v>
      </c>
      <c r="E39">
        <v>0</v>
      </c>
      <c r="F39" s="9"/>
      <c r="G39">
        <v>1</v>
      </c>
      <c r="K39" s="1"/>
      <c r="L39" s="9"/>
    </row>
    <row r="40" spans="1:12" x14ac:dyDescent="0.3">
      <c r="A40" s="1">
        <v>29</v>
      </c>
      <c r="B40" s="9" t="s">
        <v>17</v>
      </c>
      <c r="C40">
        <f>IF('muut muuttujat'!$G$3=2,1,0)</f>
        <v>0</v>
      </c>
      <c r="D40">
        <v>1</v>
      </c>
      <c r="E40">
        <f t="shared" si="0"/>
        <v>0</v>
      </c>
      <c r="F40" s="9">
        <v>1</v>
      </c>
      <c r="K40" s="1"/>
      <c r="L40" s="9"/>
    </row>
    <row r="41" spans="1:12" x14ac:dyDescent="0.3">
      <c r="A41" s="1">
        <v>30</v>
      </c>
      <c r="B41" s="9" t="s">
        <v>18</v>
      </c>
      <c r="C41">
        <f>IF('muut muuttujat'!$G$3=2,1,0)</f>
        <v>0</v>
      </c>
      <c r="D41">
        <v>1</v>
      </c>
      <c r="E41">
        <f t="shared" si="0"/>
        <v>0</v>
      </c>
      <c r="F41" s="9">
        <v>1</v>
      </c>
      <c r="K41" s="1"/>
      <c r="L41" s="9"/>
    </row>
    <row r="42" spans="1:12" x14ac:dyDescent="0.3">
      <c r="A42" s="1">
        <v>31</v>
      </c>
      <c r="B42" s="9" t="s">
        <v>19</v>
      </c>
      <c r="C42">
        <f>IF('muut muuttujat'!$G$3=2,1,0)</f>
        <v>0</v>
      </c>
      <c r="D42">
        <v>1</v>
      </c>
      <c r="E42">
        <f t="shared" si="0"/>
        <v>0</v>
      </c>
      <c r="F42" s="9">
        <v>1</v>
      </c>
      <c r="K42" s="1"/>
      <c r="L42" s="9"/>
    </row>
    <row r="43" spans="1:12" x14ac:dyDescent="0.3">
      <c r="A43" s="1">
        <v>32</v>
      </c>
      <c r="B43" s="9" t="s">
        <v>20</v>
      </c>
      <c r="C43">
        <f>IF('muut muuttujat'!$G$3=2,1,0)</f>
        <v>0</v>
      </c>
      <c r="D43">
        <v>1</v>
      </c>
      <c r="E43">
        <f t="shared" si="0"/>
        <v>0</v>
      </c>
      <c r="F43" s="9">
        <v>1</v>
      </c>
      <c r="K43" s="1"/>
      <c r="L43" s="9"/>
    </row>
    <row r="44" spans="1:12" x14ac:dyDescent="0.3">
      <c r="A44" s="1">
        <v>33</v>
      </c>
      <c r="B44" s="9" t="s">
        <v>21</v>
      </c>
      <c r="C44">
        <f>IF('muut muuttujat'!$G$3=2,1,0)</f>
        <v>0</v>
      </c>
      <c r="D44">
        <v>1</v>
      </c>
      <c r="E44">
        <f t="shared" si="0"/>
        <v>0</v>
      </c>
      <c r="F44" s="9">
        <v>1</v>
      </c>
      <c r="K44" s="1"/>
      <c r="L44" s="9"/>
    </row>
    <row r="45" spans="1:12" x14ac:dyDescent="0.3">
      <c r="A45" s="1">
        <v>34</v>
      </c>
      <c r="B45" s="9" t="s">
        <v>22</v>
      </c>
      <c r="C45">
        <f>IF('muut muuttujat'!$G$3=2,1,0)</f>
        <v>0</v>
      </c>
      <c r="D45">
        <v>1</v>
      </c>
      <c r="E45">
        <f t="shared" si="0"/>
        <v>0</v>
      </c>
      <c r="F45" s="9">
        <v>1</v>
      </c>
      <c r="K45" s="1"/>
      <c r="L45" s="9"/>
    </row>
    <row r="46" spans="1:12" x14ac:dyDescent="0.3">
      <c r="A46" s="1">
        <v>35</v>
      </c>
      <c r="B46" s="9" t="s">
        <v>24</v>
      </c>
      <c r="C46">
        <f>IF('muut muuttujat'!$G$3=2,1,0)</f>
        <v>0</v>
      </c>
      <c r="D46">
        <v>1</v>
      </c>
      <c r="E46">
        <f t="shared" si="0"/>
        <v>0</v>
      </c>
      <c r="F46" s="9">
        <v>1</v>
      </c>
      <c r="K46" s="1"/>
      <c r="L46" s="9"/>
    </row>
    <row r="47" spans="1:12" x14ac:dyDescent="0.3">
      <c r="A47" s="1">
        <v>36</v>
      </c>
      <c r="B47" s="9" t="s">
        <v>23</v>
      </c>
      <c r="C47">
        <f>IF('muut muuttujat'!$G$3=2,1,0)</f>
        <v>0</v>
      </c>
      <c r="D47">
        <v>1</v>
      </c>
      <c r="E47">
        <f t="shared" si="0"/>
        <v>0</v>
      </c>
      <c r="F47" s="9">
        <v>1</v>
      </c>
      <c r="K47" s="1"/>
      <c r="L47" s="9"/>
    </row>
    <row r="48" spans="1:12" x14ac:dyDescent="0.3">
      <c r="A48" s="1">
        <v>37</v>
      </c>
      <c r="B48" s="9" t="s">
        <v>25</v>
      </c>
      <c r="C48">
        <f>IF('muut muuttujat'!$G$3=2,1,0)</f>
        <v>0</v>
      </c>
      <c r="D48">
        <v>1</v>
      </c>
      <c r="E48">
        <f t="shared" si="0"/>
        <v>0</v>
      </c>
      <c r="F48" s="9">
        <v>1</v>
      </c>
      <c r="K48" s="1"/>
      <c r="L48" s="9"/>
    </row>
    <row r="49" spans="1:12" x14ac:dyDescent="0.3">
      <c r="A49" s="1">
        <v>38</v>
      </c>
      <c r="B49" s="9" t="s">
        <v>26</v>
      </c>
      <c r="C49">
        <f>IF('muut muuttujat'!$G$3=2,1,0)</f>
        <v>0</v>
      </c>
      <c r="D49">
        <v>1</v>
      </c>
      <c r="E49">
        <f t="shared" si="0"/>
        <v>0</v>
      </c>
      <c r="F49" s="9">
        <v>1</v>
      </c>
      <c r="K49" s="1"/>
      <c r="L49" s="9"/>
    </row>
    <row r="50" spans="1:12" x14ac:dyDescent="0.3">
      <c r="A50" s="1">
        <v>39</v>
      </c>
      <c r="B50" s="9" t="s">
        <v>27</v>
      </c>
      <c r="C50">
        <f>IF('muut muuttujat'!$G$3=2,1,0)</f>
        <v>0</v>
      </c>
      <c r="D50">
        <v>1</v>
      </c>
      <c r="E50">
        <f t="shared" si="0"/>
        <v>0</v>
      </c>
      <c r="F50" s="9">
        <v>1</v>
      </c>
      <c r="K50" s="1"/>
      <c r="L50" s="9"/>
    </row>
    <row r="51" spans="1:12" x14ac:dyDescent="0.3">
      <c r="A51" s="1">
        <v>40</v>
      </c>
      <c r="B51" s="9" t="s">
        <v>132</v>
      </c>
      <c r="C51">
        <f>IF('muut muuttujat'!$G$3=2,1,0)</f>
        <v>0</v>
      </c>
      <c r="D51">
        <v>1</v>
      </c>
      <c r="E51">
        <f t="shared" si="0"/>
        <v>0</v>
      </c>
      <c r="F51" s="9">
        <v>1</v>
      </c>
      <c r="K51" s="1"/>
      <c r="L51" s="9"/>
    </row>
    <row r="52" spans="1:12" x14ac:dyDescent="0.3">
      <c r="A52" s="1">
        <v>41</v>
      </c>
      <c r="B52" s="9" t="s">
        <v>31</v>
      </c>
      <c r="C52">
        <f>IF('muut muuttujat'!$G$3=2,1,0)</f>
        <v>0</v>
      </c>
      <c r="D52">
        <v>1</v>
      </c>
      <c r="E52">
        <f t="shared" si="0"/>
        <v>0</v>
      </c>
      <c r="F52" s="9">
        <v>1</v>
      </c>
      <c r="K52" s="1"/>
      <c r="L52" s="9"/>
    </row>
    <row r="53" spans="1:12" x14ac:dyDescent="0.3">
      <c r="A53" s="1">
        <v>42</v>
      </c>
      <c r="B53" s="9" t="s">
        <v>32</v>
      </c>
      <c r="C53">
        <f>IF('muut muuttujat'!$G$3=2,1,0)</f>
        <v>0</v>
      </c>
      <c r="D53">
        <v>1</v>
      </c>
      <c r="E53">
        <f t="shared" si="0"/>
        <v>0</v>
      </c>
      <c r="F53" s="9">
        <v>1</v>
      </c>
      <c r="K53" s="1"/>
      <c r="L53" s="9"/>
    </row>
    <row r="54" spans="1:12" x14ac:dyDescent="0.3">
      <c r="A54" s="1">
        <v>43</v>
      </c>
      <c r="B54" s="9" t="s">
        <v>501</v>
      </c>
      <c r="C54">
        <f>IF('muut muuttujat'!$G$3=2,1,0)</f>
        <v>0</v>
      </c>
      <c r="D54">
        <v>1</v>
      </c>
      <c r="E54">
        <f t="shared" si="0"/>
        <v>0</v>
      </c>
      <c r="F54" s="9">
        <v>1</v>
      </c>
      <c r="K54" s="1"/>
      <c r="L54" s="9"/>
    </row>
    <row r="55" spans="1:12" x14ac:dyDescent="0.3">
      <c r="A55" s="1">
        <v>44</v>
      </c>
      <c r="B55" s="9" t="s">
        <v>33</v>
      </c>
      <c r="C55">
        <f>IF('muut muuttujat'!$G$3=2,1,0)</f>
        <v>0</v>
      </c>
      <c r="D55">
        <v>1</v>
      </c>
      <c r="E55">
        <f t="shared" si="0"/>
        <v>0</v>
      </c>
      <c r="F55" s="9">
        <v>1</v>
      </c>
      <c r="K55" s="1"/>
      <c r="L55" s="9"/>
    </row>
    <row r="56" spans="1:12" x14ac:dyDescent="0.3">
      <c r="A56" s="1">
        <v>45</v>
      </c>
      <c r="B56" s="9" t="s">
        <v>28</v>
      </c>
      <c r="C56">
        <f>IF('muut muuttujat'!$G$3=2,1,0)</f>
        <v>0</v>
      </c>
      <c r="D56">
        <v>1</v>
      </c>
      <c r="E56">
        <f t="shared" si="0"/>
        <v>0</v>
      </c>
      <c r="F56" s="9">
        <v>1</v>
      </c>
      <c r="K56" s="1"/>
      <c r="L56" s="9"/>
    </row>
    <row r="57" spans="1:12" x14ac:dyDescent="0.3">
      <c r="A57" s="1">
        <v>46</v>
      </c>
      <c r="B57" s="9" t="s">
        <v>502</v>
      </c>
      <c r="C57">
        <f>IF('muut muuttujat'!$G$3=2,1,0)</f>
        <v>0</v>
      </c>
      <c r="D57">
        <v>1</v>
      </c>
      <c r="E57">
        <f t="shared" si="0"/>
        <v>0</v>
      </c>
      <c r="F57" s="9">
        <v>1</v>
      </c>
      <c r="K57" s="1"/>
      <c r="L57" s="9"/>
    </row>
    <row r="58" spans="1:12" x14ac:dyDescent="0.3">
      <c r="A58" s="1">
        <v>47</v>
      </c>
      <c r="B58" s="9" t="s">
        <v>29</v>
      </c>
      <c r="C58">
        <f>IF('muut muuttujat'!$G$3=2,1,0)</f>
        <v>0</v>
      </c>
      <c r="D58">
        <v>1</v>
      </c>
      <c r="E58">
        <f t="shared" si="0"/>
        <v>0</v>
      </c>
      <c r="F58" s="9">
        <v>1</v>
      </c>
      <c r="K58" s="1"/>
      <c r="L58" s="9"/>
    </row>
    <row r="59" spans="1:12" x14ac:dyDescent="0.3">
      <c r="A59" s="1">
        <v>48</v>
      </c>
      <c r="B59" s="9" t="s">
        <v>30</v>
      </c>
      <c r="C59">
        <f>IF('muut muuttujat'!$G$3=2,1,0)</f>
        <v>0</v>
      </c>
      <c r="D59">
        <v>1</v>
      </c>
      <c r="E59">
        <f t="shared" si="0"/>
        <v>0</v>
      </c>
      <c r="F59" s="9">
        <v>1</v>
      </c>
      <c r="K59" s="1"/>
      <c r="L59" s="9"/>
    </row>
    <row r="60" spans="1:12" x14ac:dyDescent="0.3">
      <c r="A60" s="1">
        <v>49</v>
      </c>
      <c r="B60" s="9" t="s">
        <v>34</v>
      </c>
      <c r="C60">
        <f>IF('muut muuttujat'!$G$3=2,1,0)</f>
        <v>0</v>
      </c>
      <c r="D60">
        <v>1</v>
      </c>
      <c r="E60">
        <f t="shared" si="0"/>
        <v>0</v>
      </c>
      <c r="F60" s="9">
        <v>1</v>
      </c>
      <c r="H60">
        <v>1</v>
      </c>
      <c r="K60" s="1"/>
      <c r="L60" s="9"/>
    </row>
    <row r="61" spans="1:12" x14ac:dyDescent="0.3">
      <c r="A61" s="1">
        <v>50</v>
      </c>
      <c r="B61" s="9" t="s">
        <v>35</v>
      </c>
      <c r="C61">
        <f>IF('muut muuttujat'!$G$3=2,1,0)</f>
        <v>0</v>
      </c>
      <c r="D61">
        <v>1</v>
      </c>
      <c r="E61">
        <f t="shared" si="0"/>
        <v>0</v>
      </c>
      <c r="F61" s="9">
        <v>1</v>
      </c>
      <c r="H61">
        <v>1</v>
      </c>
      <c r="K61" s="1"/>
      <c r="L61" s="9"/>
    </row>
    <row r="62" spans="1:12" x14ac:dyDescent="0.3">
      <c r="A62" s="1">
        <v>51</v>
      </c>
      <c r="B62" s="9" t="s">
        <v>36</v>
      </c>
      <c r="C62">
        <f>IF('muut muuttujat'!$G$3=2,1,0)</f>
        <v>0</v>
      </c>
      <c r="D62">
        <v>1</v>
      </c>
      <c r="E62">
        <f t="shared" si="0"/>
        <v>0</v>
      </c>
      <c r="F62" s="9">
        <v>1</v>
      </c>
      <c r="H62">
        <v>1</v>
      </c>
      <c r="K62" s="1"/>
      <c r="L62" s="9"/>
    </row>
    <row r="63" spans="1:12" x14ac:dyDescent="0.3">
      <c r="A63" s="1">
        <v>52</v>
      </c>
      <c r="B63" s="9" t="s">
        <v>37</v>
      </c>
      <c r="C63">
        <f>IF('muut muuttujat'!$G$3=2,1,0)</f>
        <v>0</v>
      </c>
      <c r="D63">
        <v>1</v>
      </c>
      <c r="E63">
        <f t="shared" si="0"/>
        <v>0</v>
      </c>
      <c r="F63" s="9">
        <v>1</v>
      </c>
      <c r="H63">
        <v>1</v>
      </c>
      <c r="K63" s="1"/>
      <c r="L63" s="9"/>
    </row>
    <row r="64" spans="1:12" x14ac:dyDescent="0.3">
      <c r="A64" s="1">
        <v>53</v>
      </c>
      <c r="B64" s="9" t="s">
        <v>38</v>
      </c>
      <c r="C64">
        <f>IF('muut muuttujat'!$G$3=2,1,0)</f>
        <v>0</v>
      </c>
      <c r="D64">
        <v>1</v>
      </c>
      <c r="E64">
        <f t="shared" si="0"/>
        <v>0</v>
      </c>
      <c r="F64" s="9">
        <v>1</v>
      </c>
      <c r="H64">
        <v>1</v>
      </c>
      <c r="K64" s="1"/>
      <c r="L64" s="9"/>
    </row>
    <row r="65" spans="1:12" x14ac:dyDescent="0.3">
      <c r="A65" s="1">
        <v>54</v>
      </c>
      <c r="B65" s="9" t="s">
        <v>39</v>
      </c>
      <c r="C65">
        <f>IF('muut muuttujat'!$G$3=2,1,0)</f>
        <v>0</v>
      </c>
      <c r="D65">
        <v>1</v>
      </c>
      <c r="E65">
        <f t="shared" si="0"/>
        <v>0</v>
      </c>
      <c r="F65" s="9">
        <v>1</v>
      </c>
      <c r="H65">
        <v>1</v>
      </c>
      <c r="K65" s="1"/>
      <c r="L65" s="9"/>
    </row>
    <row r="66" spans="1:12" x14ac:dyDescent="0.3">
      <c r="A66" s="1">
        <v>55</v>
      </c>
      <c r="B66" s="9" t="s">
        <v>41</v>
      </c>
      <c r="C66">
        <f>IF('muut muuttujat'!$G$3=2,1,0)</f>
        <v>0</v>
      </c>
      <c r="D66">
        <v>1</v>
      </c>
      <c r="E66">
        <f t="shared" si="0"/>
        <v>0</v>
      </c>
      <c r="F66" s="9">
        <v>1</v>
      </c>
      <c r="H66">
        <v>1</v>
      </c>
      <c r="K66" s="1"/>
      <c r="L66" s="9"/>
    </row>
    <row r="67" spans="1:12" x14ac:dyDescent="0.3">
      <c r="A67" s="1">
        <v>56</v>
      </c>
      <c r="B67" s="9" t="s">
        <v>40</v>
      </c>
      <c r="C67">
        <f>IF('muut muuttujat'!$G$3=2,1,0)</f>
        <v>0</v>
      </c>
      <c r="D67">
        <v>1</v>
      </c>
      <c r="E67">
        <f t="shared" si="0"/>
        <v>0</v>
      </c>
      <c r="F67" s="9">
        <v>1</v>
      </c>
      <c r="H67">
        <v>1</v>
      </c>
      <c r="K67" s="1"/>
      <c r="L67" s="9"/>
    </row>
    <row r="68" spans="1:12" x14ac:dyDescent="0.3">
      <c r="A68" s="1">
        <v>57</v>
      </c>
      <c r="B68" s="9" t="s">
        <v>42</v>
      </c>
      <c r="C68">
        <f>IF('muut muuttujat'!$G$3=2,1,0)</f>
        <v>0</v>
      </c>
      <c r="D68">
        <v>1</v>
      </c>
      <c r="E68">
        <f t="shared" si="0"/>
        <v>0</v>
      </c>
      <c r="F68" s="9">
        <v>1</v>
      </c>
      <c r="H68">
        <v>1</v>
      </c>
      <c r="K68" s="1"/>
      <c r="L68" s="9"/>
    </row>
    <row r="69" spans="1:12" x14ac:dyDescent="0.3">
      <c r="A69" s="1">
        <v>58</v>
      </c>
      <c r="B69" s="9" t="s">
        <v>43</v>
      </c>
      <c r="C69">
        <f>IF('muut muuttujat'!$G$3=2,1,0)</f>
        <v>0</v>
      </c>
      <c r="D69">
        <v>1</v>
      </c>
      <c r="E69">
        <f t="shared" si="0"/>
        <v>0</v>
      </c>
      <c r="F69" s="9">
        <v>1</v>
      </c>
      <c r="H69">
        <v>1</v>
      </c>
      <c r="K69" s="1"/>
      <c r="L69" s="9"/>
    </row>
    <row r="70" spans="1:12" x14ac:dyDescent="0.3">
      <c r="A70" s="1">
        <v>59</v>
      </c>
      <c r="B70" s="9" t="s">
        <v>44</v>
      </c>
      <c r="C70">
        <f>IF('muut muuttujat'!$G$3=2,1,0)</f>
        <v>0</v>
      </c>
      <c r="D70">
        <v>1</v>
      </c>
      <c r="E70">
        <f t="shared" si="0"/>
        <v>0</v>
      </c>
      <c r="F70" s="9">
        <v>1</v>
      </c>
      <c r="H70">
        <v>1</v>
      </c>
      <c r="K70" s="1"/>
      <c r="L70" s="9"/>
    </row>
    <row r="71" spans="1:12" x14ac:dyDescent="0.3">
      <c r="A71" s="1">
        <v>60</v>
      </c>
      <c r="B71" s="9" t="s">
        <v>85</v>
      </c>
      <c r="C71">
        <f>IF('muut muuttujat'!$G$3=2,1,0)</f>
        <v>0</v>
      </c>
      <c r="D71">
        <v>1</v>
      </c>
      <c r="E71">
        <f t="shared" si="0"/>
        <v>0</v>
      </c>
      <c r="F71" s="9">
        <v>1</v>
      </c>
      <c r="H71">
        <v>1</v>
      </c>
      <c r="K71" s="1"/>
      <c r="L71" s="9"/>
    </row>
    <row r="72" spans="1:12" x14ac:dyDescent="0.3">
      <c r="A72" s="1">
        <v>61</v>
      </c>
      <c r="B72" s="9" t="s">
        <v>45</v>
      </c>
      <c r="C72">
        <f>IF('muut muuttujat'!$G$3=2,1,0)</f>
        <v>0</v>
      </c>
      <c r="D72">
        <v>1</v>
      </c>
      <c r="E72">
        <f t="shared" si="0"/>
        <v>0</v>
      </c>
      <c r="F72" s="9">
        <v>1</v>
      </c>
      <c r="H72">
        <v>1</v>
      </c>
      <c r="K72" s="1"/>
      <c r="L72" s="9"/>
    </row>
    <row r="73" spans="1:12" x14ac:dyDescent="0.3">
      <c r="A73" s="1">
        <v>62</v>
      </c>
      <c r="B73" s="9" t="s">
        <v>46</v>
      </c>
      <c r="C73">
        <f>IF('muut muuttujat'!$G$3=2,1,0)</f>
        <v>0</v>
      </c>
      <c r="D73">
        <v>1</v>
      </c>
      <c r="E73">
        <f t="shared" si="0"/>
        <v>0</v>
      </c>
      <c r="F73" s="9">
        <v>1</v>
      </c>
      <c r="H73">
        <v>1</v>
      </c>
      <c r="K73" s="1"/>
      <c r="L73" s="9"/>
    </row>
    <row r="74" spans="1:12" x14ac:dyDescent="0.3">
      <c r="A74" s="1">
        <v>63</v>
      </c>
      <c r="B74" s="9" t="s">
        <v>504</v>
      </c>
      <c r="C74">
        <f>IF('muut muuttujat'!$G$3=2,1,0)</f>
        <v>0</v>
      </c>
      <c r="D74">
        <v>1</v>
      </c>
      <c r="E74">
        <f t="shared" si="0"/>
        <v>0</v>
      </c>
      <c r="F74" s="9">
        <v>1</v>
      </c>
      <c r="H74">
        <v>1</v>
      </c>
      <c r="K74" s="1"/>
      <c r="L74" s="9"/>
    </row>
    <row r="75" spans="1:12" x14ac:dyDescent="0.3">
      <c r="A75" s="1">
        <v>64</v>
      </c>
      <c r="B75" s="9" t="s">
        <v>47</v>
      </c>
      <c r="C75">
        <f>IF('muut muuttujat'!$G$3=2,1,0)</f>
        <v>0</v>
      </c>
      <c r="D75">
        <v>1</v>
      </c>
      <c r="E75">
        <f t="shared" si="0"/>
        <v>0</v>
      </c>
      <c r="F75" s="9">
        <v>1</v>
      </c>
      <c r="H75">
        <v>1</v>
      </c>
      <c r="K75" s="1"/>
      <c r="L75" s="9"/>
    </row>
    <row r="76" spans="1:12" x14ac:dyDescent="0.3">
      <c r="A76" s="1">
        <v>65</v>
      </c>
      <c r="B76" s="9" t="s">
        <v>48</v>
      </c>
      <c r="C76">
        <f>IF('muut muuttujat'!$G$3=2,1,0)</f>
        <v>0</v>
      </c>
      <c r="D76">
        <v>1</v>
      </c>
      <c r="E76">
        <f t="shared" si="0"/>
        <v>0</v>
      </c>
      <c r="F76" s="9">
        <v>1</v>
      </c>
      <c r="H76">
        <v>1</v>
      </c>
      <c r="K76" s="1"/>
      <c r="L76" s="9"/>
    </row>
    <row r="77" spans="1:12" x14ac:dyDescent="0.3">
      <c r="A77" s="1">
        <v>66</v>
      </c>
      <c r="B77" s="9" t="s">
        <v>503</v>
      </c>
      <c r="C77">
        <f>IF('muut muuttujat'!$G$3=2,1,0)</f>
        <v>0</v>
      </c>
      <c r="D77">
        <v>1</v>
      </c>
      <c r="E77">
        <f t="shared" si="0"/>
        <v>0</v>
      </c>
      <c r="F77" s="9">
        <v>1</v>
      </c>
      <c r="H77">
        <v>1</v>
      </c>
      <c r="K77" s="1"/>
      <c r="L77" s="9"/>
    </row>
    <row r="78" spans="1:12" x14ac:dyDescent="0.3">
      <c r="A78" s="1">
        <v>67</v>
      </c>
      <c r="B78" s="9" t="s">
        <v>49</v>
      </c>
      <c r="C78">
        <f>IF('muut muuttujat'!$G$3=2,1,0)</f>
        <v>0</v>
      </c>
      <c r="D78">
        <v>1</v>
      </c>
      <c r="E78">
        <f t="shared" si="0"/>
        <v>0</v>
      </c>
      <c r="F78" s="9">
        <v>1</v>
      </c>
      <c r="H78">
        <v>1</v>
      </c>
      <c r="K78" s="1"/>
      <c r="L78" s="9"/>
    </row>
    <row r="79" spans="1:12" x14ac:dyDescent="0.3">
      <c r="A79" s="1">
        <v>68</v>
      </c>
      <c r="B79" s="9" t="s">
        <v>50</v>
      </c>
      <c r="C79">
        <f>IF('muut muuttujat'!$G$3=2,1,0)</f>
        <v>0</v>
      </c>
      <c r="D79">
        <v>1</v>
      </c>
      <c r="E79">
        <f t="shared" si="0"/>
        <v>0</v>
      </c>
      <c r="F79" s="9">
        <v>1</v>
      </c>
      <c r="H79">
        <v>1</v>
      </c>
      <c r="K79" s="1"/>
      <c r="L79" s="9"/>
    </row>
    <row r="80" spans="1:12" x14ac:dyDescent="0.3">
      <c r="A80" s="1">
        <v>69</v>
      </c>
      <c r="B80" s="9" t="s">
        <v>51</v>
      </c>
      <c r="C80">
        <f>IF('muut muuttujat'!$G$3=2,1,0)</f>
        <v>0</v>
      </c>
      <c r="D80">
        <v>1</v>
      </c>
      <c r="E80">
        <f t="shared" si="0"/>
        <v>0</v>
      </c>
      <c r="F80" s="9">
        <v>1</v>
      </c>
      <c r="K80" s="1"/>
      <c r="L80" s="9"/>
    </row>
    <row r="81" spans="1:12" x14ac:dyDescent="0.3">
      <c r="A81" s="1">
        <v>70</v>
      </c>
      <c r="B81" s="9" t="s">
        <v>52</v>
      </c>
      <c r="C81">
        <f>IF('muut muuttujat'!$G$3=2,1,0)</f>
        <v>0</v>
      </c>
      <c r="D81">
        <v>1</v>
      </c>
      <c r="E81">
        <f t="shared" si="0"/>
        <v>0</v>
      </c>
      <c r="F81" s="9">
        <v>1</v>
      </c>
      <c r="K81" s="1"/>
      <c r="L81" s="9"/>
    </row>
    <row r="82" spans="1:12" x14ac:dyDescent="0.3">
      <c r="A82" s="1">
        <v>71</v>
      </c>
      <c r="B82" s="9" t="s">
        <v>53</v>
      </c>
      <c r="C82">
        <f>IF('muut muuttujat'!$G$3=2,1,0)</f>
        <v>0</v>
      </c>
      <c r="D82">
        <v>1</v>
      </c>
      <c r="E82">
        <f t="shared" si="0"/>
        <v>0</v>
      </c>
      <c r="F82" s="9">
        <v>1</v>
      </c>
      <c r="K82" s="1"/>
      <c r="L82" s="9"/>
    </row>
    <row r="83" spans="1:12" x14ac:dyDescent="0.3">
      <c r="A83" s="1">
        <v>72</v>
      </c>
      <c r="B83" s="9" t="s">
        <v>54</v>
      </c>
      <c r="C83">
        <f>IF('muut muuttujat'!$G$3=2,1,0)</f>
        <v>0</v>
      </c>
      <c r="D83">
        <v>1</v>
      </c>
      <c r="E83">
        <f t="shared" si="0"/>
        <v>0</v>
      </c>
      <c r="F83" s="9">
        <v>1</v>
      </c>
      <c r="K83" s="1"/>
      <c r="L83" s="9"/>
    </row>
    <row r="84" spans="1:12" x14ac:dyDescent="0.3">
      <c r="A84" s="1">
        <v>73</v>
      </c>
      <c r="B84" s="9" t="s">
        <v>152</v>
      </c>
      <c r="C84">
        <f>IF('muut muuttujat'!$G$3=2,1,0)</f>
        <v>0</v>
      </c>
      <c r="D84">
        <v>1</v>
      </c>
      <c r="E84">
        <f t="shared" si="0"/>
        <v>0</v>
      </c>
      <c r="F84" s="9">
        <v>1</v>
      </c>
      <c r="H84">
        <v>1</v>
      </c>
      <c r="K84" s="1"/>
      <c r="L84" s="9"/>
    </row>
    <row r="85" spans="1:12" x14ac:dyDescent="0.3">
      <c r="A85" s="1">
        <v>74</v>
      </c>
      <c r="B85" s="9" t="s">
        <v>59</v>
      </c>
      <c r="C85">
        <f>IF('muut muuttujat'!$G$3=2,1,0)</f>
        <v>0</v>
      </c>
      <c r="D85">
        <v>1</v>
      </c>
      <c r="E85">
        <f t="shared" si="0"/>
        <v>0</v>
      </c>
      <c r="F85" s="9">
        <v>1</v>
      </c>
      <c r="H85">
        <v>1</v>
      </c>
      <c r="K85" s="1"/>
      <c r="L85" s="9"/>
    </row>
    <row r="86" spans="1:12" x14ac:dyDescent="0.3">
      <c r="A86" s="1">
        <v>75</v>
      </c>
      <c r="B86" s="9" t="s">
        <v>61</v>
      </c>
      <c r="C86">
        <f>IF('muut muuttujat'!$G$3=2,1,0)</f>
        <v>0</v>
      </c>
      <c r="D86">
        <v>1</v>
      </c>
      <c r="E86">
        <f t="shared" ref="E86:E98" si="1">IF(C86+D86&gt;1,1,0)</f>
        <v>0</v>
      </c>
      <c r="F86" s="9">
        <v>1</v>
      </c>
      <c r="H86">
        <v>1</v>
      </c>
      <c r="K86" s="1"/>
      <c r="L86" s="9"/>
    </row>
    <row r="87" spans="1:12" x14ac:dyDescent="0.3">
      <c r="A87" s="1">
        <v>76</v>
      </c>
      <c r="B87" s="9" t="s">
        <v>60</v>
      </c>
      <c r="C87">
        <f>IF('muut muuttujat'!$G$3=2,1,0)</f>
        <v>0</v>
      </c>
      <c r="D87">
        <v>1</v>
      </c>
      <c r="E87">
        <f t="shared" si="1"/>
        <v>0</v>
      </c>
      <c r="F87" s="9">
        <v>1</v>
      </c>
      <c r="H87">
        <v>1</v>
      </c>
      <c r="K87" s="1"/>
      <c r="L87" s="9"/>
    </row>
    <row r="88" spans="1:12" x14ac:dyDescent="0.3">
      <c r="A88" s="1">
        <v>77</v>
      </c>
      <c r="B88" s="9" t="s">
        <v>55</v>
      </c>
      <c r="C88">
        <f>IF('muut muuttujat'!$G$3=2,1,0)</f>
        <v>0</v>
      </c>
      <c r="D88">
        <v>1</v>
      </c>
      <c r="E88">
        <f t="shared" si="1"/>
        <v>0</v>
      </c>
      <c r="F88" s="9">
        <v>1</v>
      </c>
      <c r="K88" s="1"/>
      <c r="L88" s="9"/>
    </row>
    <row r="89" spans="1:12" x14ac:dyDescent="0.3">
      <c r="A89" s="1">
        <v>78</v>
      </c>
      <c r="B89" s="9" t="s">
        <v>56</v>
      </c>
      <c r="C89">
        <f>IF('muut muuttujat'!$G$3=2,1,0)</f>
        <v>0</v>
      </c>
      <c r="D89">
        <v>1</v>
      </c>
      <c r="E89">
        <f t="shared" si="1"/>
        <v>0</v>
      </c>
      <c r="F89" s="9">
        <v>1</v>
      </c>
      <c r="K89" s="1"/>
      <c r="L89" s="9"/>
    </row>
    <row r="90" spans="1:12" x14ac:dyDescent="0.3">
      <c r="A90" s="1">
        <v>79</v>
      </c>
      <c r="B90" s="9" t="s">
        <v>58</v>
      </c>
      <c r="C90">
        <f>IF('muut muuttujat'!$G$3=2,1,0)</f>
        <v>0</v>
      </c>
      <c r="D90">
        <v>1</v>
      </c>
      <c r="E90">
        <f t="shared" si="1"/>
        <v>0</v>
      </c>
      <c r="F90" s="9">
        <v>1</v>
      </c>
      <c r="K90" s="1"/>
      <c r="L90" s="9"/>
    </row>
    <row r="91" spans="1:12" x14ac:dyDescent="0.3">
      <c r="A91" s="1">
        <v>80</v>
      </c>
      <c r="B91" s="9" t="s">
        <v>57</v>
      </c>
      <c r="C91">
        <f>IF('muut muuttujat'!$G$3=2,1,0)</f>
        <v>0</v>
      </c>
      <c r="D91">
        <v>1</v>
      </c>
      <c r="E91">
        <f t="shared" si="1"/>
        <v>0</v>
      </c>
      <c r="F91" s="9">
        <v>1</v>
      </c>
      <c r="K91" s="1"/>
      <c r="L91" s="9"/>
    </row>
    <row r="92" spans="1:12" x14ac:dyDescent="0.3">
      <c r="A92" s="1">
        <v>81</v>
      </c>
      <c r="B92" s="9" t="s">
        <v>62</v>
      </c>
      <c r="C92">
        <f>IF('muut muuttujat'!$G$3=2,1,0)</f>
        <v>0</v>
      </c>
      <c r="D92">
        <v>1</v>
      </c>
      <c r="E92">
        <f t="shared" si="1"/>
        <v>0</v>
      </c>
      <c r="F92" s="9">
        <v>1</v>
      </c>
      <c r="H92">
        <v>1</v>
      </c>
      <c r="K92" s="1"/>
      <c r="L92" s="9"/>
    </row>
    <row r="93" spans="1:12" x14ac:dyDescent="0.3">
      <c r="A93" s="1">
        <v>82</v>
      </c>
      <c r="B93" s="9" t="s">
        <v>63</v>
      </c>
      <c r="C93">
        <f>IF('muut muuttujat'!$G$3=2,1,0)</f>
        <v>0</v>
      </c>
      <c r="D93">
        <v>1</v>
      </c>
      <c r="E93">
        <f t="shared" si="1"/>
        <v>0</v>
      </c>
      <c r="F93" s="9">
        <v>1</v>
      </c>
      <c r="H93">
        <v>1</v>
      </c>
      <c r="K93" s="1"/>
      <c r="L93" s="9"/>
    </row>
    <row r="94" spans="1:12" x14ac:dyDescent="0.3">
      <c r="A94" s="1">
        <v>83</v>
      </c>
      <c r="B94" s="9" t="s">
        <v>64</v>
      </c>
      <c r="C94">
        <f>IF('muut muuttujat'!$G$3=2,1,0)</f>
        <v>0</v>
      </c>
      <c r="D94">
        <v>1</v>
      </c>
      <c r="E94">
        <f t="shared" si="1"/>
        <v>0</v>
      </c>
      <c r="F94" s="9">
        <v>1</v>
      </c>
      <c r="H94">
        <v>1</v>
      </c>
      <c r="K94" s="1"/>
      <c r="L94" s="9"/>
    </row>
    <row r="95" spans="1:12" x14ac:dyDescent="0.3">
      <c r="A95" s="1">
        <v>84</v>
      </c>
      <c r="B95" s="9" t="s">
        <v>65</v>
      </c>
      <c r="C95">
        <f>IF('muut muuttujat'!$G$3=2,1,0)</f>
        <v>0</v>
      </c>
      <c r="D95">
        <v>1</v>
      </c>
      <c r="E95">
        <f t="shared" si="1"/>
        <v>0</v>
      </c>
      <c r="F95" s="9">
        <v>1</v>
      </c>
      <c r="H95">
        <v>1</v>
      </c>
      <c r="K95" s="1"/>
      <c r="L95" s="9"/>
    </row>
    <row r="96" spans="1:12" x14ac:dyDescent="0.3">
      <c r="A96" s="1">
        <v>85</v>
      </c>
      <c r="B96" s="9" t="s">
        <v>133</v>
      </c>
      <c r="C96">
        <f>IF('muut muuttujat'!$G$3=2,1,0)</f>
        <v>0</v>
      </c>
      <c r="E96">
        <f t="shared" si="1"/>
        <v>0</v>
      </c>
      <c r="F96" s="9"/>
      <c r="K96" s="1"/>
      <c r="L96" s="9"/>
    </row>
    <row r="97" spans="1:12" x14ac:dyDescent="0.3">
      <c r="A97" s="1">
        <v>86</v>
      </c>
      <c r="B97" s="9" t="s">
        <v>177</v>
      </c>
      <c r="C97">
        <f>IF('muut muuttujat'!$G$3=2,1,0)</f>
        <v>0</v>
      </c>
      <c r="E97">
        <f t="shared" si="1"/>
        <v>0</v>
      </c>
      <c r="F97" s="9"/>
      <c r="K97" s="1"/>
      <c r="L97" s="9"/>
    </row>
    <row r="98" spans="1:12" x14ac:dyDescent="0.3">
      <c r="A98" s="1">
        <v>87</v>
      </c>
      <c r="B98" s="9" t="s">
        <v>178</v>
      </c>
      <c r="C98">
        <f>IF('muut muuttujat'!$G$3=2,1,0)</f>
        <v>0</v>
      </c>
      <c r="E98">
        <f t="shared" si="1"/>
        <v>0</v>
      </c>
      <c r="F98" s="9"/>
      <c r="K98" s="1"/>
      <c r="L98" s="9"/>
    </row>
    <row r="99" spans="1:12" x14ac:dyDescent="0.3">
      <c r="A99" s="1">
        <v>88</v>
      </c>
      <c r="B99" s="9" t="s">
        <v>134</v>
      </c>
      <c r="C99">
        <f>IF('muut muuttujat'!$G$3=2,1,0)</f>
        <v>0</v>
      </c>
      <c r="E99">
        <f t="shared" ref="E99:E107" si="2">IF(C99+D99&gt;1,1,0)</f>
        <v>0</v>
      </c>
      <c r="K99" s="1"/>
      <c r="L99" s="9"/>
    </row>
    <row r="100" spans="1:12" x14ac:dyDescent="0.3">
      <c r="A100" s="1">
        <v>89</v>
      </c>
      <c r="B100" s="9" t="s">
        <v>135</v>
      </c>
      <c r="C100">
        <f>IF('muut muuttujat'!$G$3=2,1,0)</f>
        <v>0</v>
      </c>
      <c r="E100">
        <f t="shared" si="2"/>
        <v>0</v>
      </c>
      <c r="K100" s="1"/>
      <c r="L100" s="9"/>
    </row>
    <row r="101" spans="1:12" x14ac:dyDescent="0.3">
      <c r="A101" s="1">
        <v>90</v>
      </c>
      <c r="B101" s="9" t="s">
        <v>67</v>
      </c>
      <c r="C101">
        <f>IF('muut muuttujat'!$G$3=2,1,0)</f>
        <v>0</v>
      </c>
      <c r="E101">
        <f t="shared" si="2"/>
        <v>0</v>
      </c>
      <c r="F101">
        <v>1</v>
      </c>
      <c r="K101" s="1"/>
      <c r="L101" s="9"/>
    </row>
    <row r="102" spans="1:12" x14ac:dyDescent="0.3">
      <c r="A102" s="1">
        <v>91</v>
      </c>
      <c r="B102" s="9" t="s">
        <v>69</v>
      </c>
      <c r="C102">
        <f>IF('muut muuttujat'!$G$3=2,1,0)</f>
        <v>0</v>
      </c>
      <c r="E102">
        <f t="shared" si="2"/>
        <v>0</v>
      </c>
      <c r="F102">
        <v>1</v>
      </c>
      <c r="K102" s="1"/>
      <c r="L102" s="9"/>
    </row>
    <row r="103" spans="1:12" x14ac:dyDescent="0.3">
      <c r="A103" s="1">
        <v>92</v>
      </c>
      <c r="B103" s="9" t="s">
        <v>68</v>
      </c>
      <c r="C103">
        <f>IF('muut muuttujat'!$G$3=2,1,0)</f>
        <v>0</v>
      </c>
      <c r="E103">
        <f t="shared" si="2"/>
        <v>0</v>
      </c>
      <c r="F103">
        <v>1</v>
      </c>
      <c r="K103" s="1"/>
      <c r="L103" s="9"/>
    </row>
    <row r="104" spans="1:12" x14ac:dyDescent="0.3">
      <c r="A104" s="1">
        <v>93</v>
      </c>
      <c r="B104" s="9" t="s">
        <v>66</v>
      </c>
      <c r="C104">
        <f>IF('muut muuttujat'!$G$3=2,1,0)</f>
        <v>0</v>
      </c>
      <c r="E104">
        <f t="shared" si="2"/>
        <v>0</v>
      </c>
      <c r="F104">
        <v>1</v>
      </c>
      <c r="K104" s="1"/>
      <c r="L104" s="9"/>
    </row>
    <row r="105" spans="1:12" x14ac:dyDescent="0.3">
      <c r="A105" s="1">
        <v>94</v>
      </c>
      <c r="B105" s="9" t="s">
        <v>136</v>
      </c>
      <c r="C105">
        <f>IF('muut muuttujat'!$G$3=2,1,0)</f>
        <v>0</v>
      </c>
      <c r="E105">
        <f t="shared" si="2"/>
        <v>0</v>
      </c>
      <c r="F105">
        <v>1</v>
      </c>
      <c r="H105">
        <v>1</v>
      </c>
      <c r="K105" s="1"/>
      <c r="L105" s="9"/>
    </row>
    <row r="106" spans="1:12" x14ac:dyDescent="0.3">
      <c r="A106" s="1">
        <v>95</v>
      </c>
      <c r="B106" s="9" t="s">
        <v>71</v>
      </c>
      <c r="C106">
        <f>IF('muut muuttujat'!$G$3=2,1,0)</f>
        <v>0</v>
      </c>
      <c r="E106">
        <f t="shared" si="2"/>
        <v>0</v>
      </c>
      <c r="F106">
        <v>1</v>
      </c>
      <c r="H106">
        <v>1</v>
      </c>
      <c r="K106" s="1"/>
      <c r="L106" s="9"/>
    </row>
    <row r="107" spans="1:12" x14ac:dyDescent="0.3">
      <c r="A107" s="1">
        <v>96</v>
      </c>
      <c r="B107" s="9" t="s">
        <v>70</v>
      </c>
      <c r="C107">
        <f>IF('muut muuttujat'!$G$3=2,1,0)</f>
        <v>0</v>
      </c>
      <c r="E107">
        <f t="shared" si="2"/>
        <v>0</v>
      </c>
      <c r="F107">
        <v>1</v>
      </c>
      <c r="H107">
        <v>1</v>
      </c>
      <c r="K107" s="1"/>
      <c r="L107" s="9"/>
    </row>
    <row r="108" spans="1:12" x14ac:dyDescent="0.3">
      <c r="A108" s="1">
        <v>97</v>
      </c>
      <c r="B108" s="9" t="s">
        <v>205</v>
      </c>
      <c r="I108">
        <v>1</v>
      </c>
      <c r="K108" s="1"/>
      <c r="L108" s="9"/>
    </row>
    <row r="109" spans="1:12" x14ac:dyDescent="0.3">
      <c r="A109" s="1">
        <v>98</v>
      </c>
      <c r="B109" s="9" t="s">
        <v>206</v>
      </c>
      <c r="I109">
        <v>1</v>
      </c>
      <c r="K109" s="1"/>
      <c r="L109" s="9"/>
    </row>
    <row r="110" spans="1:12" x14ac:dyDescent="0.3">
      <c r="A110" s="1">
        <v>99</v>
      </c>
      <c r="B110" s="9" t="s">
        <v>207</v>
      </c>
      <c r="I110">
        <v>1</v>
      </c>
      <c r="K110" s="1"/>
      <c r="L110" s="9"/>
    </row>
    <row r="111" spans="1:12" x14ac:dyDescent="0.3">
      <c r="A111" s="1">
        <v>100</v>
      </c>
      <c r="B111" s="9" t="s">
        <v>141</v>
      </c>
      <c r="C111">
        <f>IF('muut muuttujat'!$G$3=2,1,0)</f>
        <v>0</v>
      </c>
      <c r="E111">
        <f>IF(C111+D111&gt;1,1,0)</f>
        <v>0</v>
      </c>
      <c r="K111" s="1"/>
      <c r="L111" s="9"/>
    </row>
    <row r="112" spans="1:12" x14ac:dyDescent="0.3">
      <c r="A112" s="1">
        <v>101</v>
      </c>
      <c r="B112" s="9" t="s">
        <v>142</v>
      </c>
      <c r="C112">
        <f>IF('muut muuttujat'!$G$3=2,1,0)</f>
        <v>0</v>
      </c>
      <c r="E112">
        <f>IF(C112+D112&gt;1,1,0)</f>
        <v>0</v>
      </c>
      <c r="K112" s="1"/>
      <c r="L112" s="9"/>
    </row>
    <row r="113" spans="1:12" x14ac:dyDescent="0.3">
      <c r="A113" s="1">
        <v>102</v>
      </c>
      <c r="B113" s="9" t="s">
        <v>143</v>
      </c>
      <c r="C113">
        <f>IF('muut muuttujat'!$G$3=2,1,0)</f>
        <v>0</v>
      </c>
      <c r="E113">
        <f>IF(C113+D113&gt;1,1,0)</f>
        <v>0</v>
      </c>
      <c r="K113" s="1"/>
      <c r="L113" s="9"/>
    </row>
    <row r="114" spans="1:12" x14ac:dyDescent="0.3">
      <c r="A114" s="1">
        <v>103</v>
      </c>
      <c r="B114" s="9" t="s">
        <v>144</v>
      </c>
      <c r="C114">
        <f>IF('muut muuttujat'!$G$3=2,1,0)</f>
        <v>0</v>
      </c>
      <c r="E114">
        <f>IF(C114+D114&gt;1,1,0)</f>
        <v>0</v>
      </c>
      <c r="K114" s="1"/>
      <c r="L114" s="9"/>
    </row>
    <row r="115" spans="1:12" x14ac:dyDescent="0.3">
      <c r="A115" s="1">
        <v>104</v>
      </c>
      <c r="B115" s="1" t="s">
        <v>208</v>
      </c>
      <c r="I115">
        <v>1</v>
      </c>
      <c r="K115" s="1"/>
      <c r="L115" s="9"/>
    </row>
    <row r="116" spans="1:12" x14ac:dyDescent="0.3">
      <c r="A116" s="1">
        <v>105</v>
      </c>
      <c r="B116" s="9" t="s">
        <v>209</v>
      </c>
      <c r="C116">
        <f>IF('muut muuttujat'!$G$3=2,1,0)</f>
        <v>0</v>
      </c>
      <c r="E116">
        <f t="shared" ref="E116:E121" si="3">IF(C116+D116&gt;1,1,0)</f>
        <v>0</v>
      </c>
      <c r="K116" s="1"/>
      <c r="L116" s="9"/>
    </row>
    <row r="117" spans="1:12" x14ac:dyDescent="0.3">
      <c r="A117" s="1">
        <v>106</v>
      </c>
      <c r="B117" s="9" t="s">
        <v>210</v>
      </c>
      <c r="C117">
        <f>IF('muut muuttujat'!$G$3=2,1,0)</f>
        <v>0</v>
      </c>
      <c r="E117">
        <f t="shared" si="3"/>
        <v>0</v>
      </c>
      <c r="K117" s="1"/>
      <c r="L117" s="9"/>
    </row>
    <row r="118" spans="1:12" x14ac:dyDescent="0.3">
      <c r="A118" s="1">
        <v>107</v>
      </c>
      <c r="B118" s="9" t="s">
        <v>211</v>
      </c>
      <c r="C118">
        <f>IF('muut muuttujat'!$G$3=2,1,0)</f>
        <v>0</v>
      </c>
      <c r="E118">
        <f t="shared" si="3"/>
        <v>0</v>
      </c>
      <c r="K118" s="1"/>
      <c r="L118" s="9"/>
    </row>
    <row r="119" spans="1:12" x14ac:dyDescent="0.3">
      <c r="A119" s="1">
        <v>108</v>
      </c>
      <c r="B119" s="9" t="s">
        <v>212</v>
      </c>
      <c r="C119">
        <f>IF('muut muuttujat'!$G$3=2,1,0)</f>
        <v>0</v>
      </c>
      <c r="E119">
        <f t="shared" si="3"/>
        <v>0</v>
      </c>
      <c r="K119" s="1"/>
      <c r="L119" s="9"/>
    </row>
    <row r="120" spans="1:12" x14ac:dyDescent="0.3">
      <c r="A120" s="1">
        <v>109</v>
      </c>
      <c r="B120" s="9" t="s">
        <v>213</v>
      </c>
      <c r="C120">
        <f>IF('muut muuttujat'!$G$3=2,1,0)</f>
        <v>0</v>
      </c>
      <c r="E120">
        <f t="shared" si="3"/>
        <v>0</v>
      </c>
      <c r="F120">
        <v>1</v>
      </c>
      <c r="K120" s="1"/>
      <c r="L120" s="9"/>
    </row>
    <row r="121" spans="1:12" x14ac:dyDescent="0.3">
      <c r="A121" s="1">
        <v>110</v>
      </c>
      <c r="B121" s="9" t="s">
        <v>214</v>
      </c>
      <c r="C121">
        <f>IF('muut muuttujat'!$G$3=2,1,0)</f>
        <v>0</v>
      </c>
      <c r="E121">
        <f t="shared" si="3"/>
        <v>0</v>
      </c>
      <c r="F121">
        <v>1</v>
      </c>
      <c r="K121" s="1"/>
      <c r="L121" s="9"/>
    </row>
    <row r="122" spans="1:12" x14ac:dyDescent="0.3">
      <c r="A122" s="1">
        <v>111</v>
      </c>
      <c r="B122" s="9" t="s">
        <v>215</v>
      </c>
      <c r="I122">
        <v>2</v>
      </c>
      <c r="K122" s="1"/>
      <c r="L122" s="9"/>
    </row>
    <row r="123" spans="1:12" x14ac:dyDescent="0.3">
      <c r="A123" s="1">
        <v>112</v>
      </c>
      <c r="B123" s="9" t="s">
        <v>137</v>
      </c>
      <c r="C123">
        <f>IF('muut muuttujat'!$G$3=2,1,0)</f>
        <v>0</v>
      </c>
      <c r="E123">
        <f t="shared" ref="E123:E131" si="4">IF(C123+D123&gt;1,1,0)</f>
        <v>0</v>
      </c>
      <c r="K123" s="1"/>
      <c r="L123" s="9"/>
    </row>
    <row r="124" spans="1:12" x14ac:dyDescent="0.3">
      <c r="A124" s="1">
        <v>113</v>
      </c>
      <c r="B124" s="9" t="s">
        <v>138</v>
      </c>
      <c r="C124">
        <f>IF('muut muuttujat'!$G$3=2,1,0)</f>
        <v>0</v>
      </c>
      <c r="E124">
        <f t="shared" si="4"/>
        <v>0</v>
      </c>
      <c r="K124" s="1"/>
      <c r="L124" s="9"/>
    </row>
    <row r="125" spans="1:12" x14ac:dyDescent="0.3">
      <c r="A125" s="1">
        <v>114</v>
      </c>
      <c r="B125" s="9" t="s">
        <v>139</v>
      </c>
      <c r="C125">
        <f>IF('muut muuttujat'!$G$3=2,1,0)</f>
        <v>0</v>
      </c>
      <c r="E125">
        <f t="shared" si="4"/>
        <v>0</v>
      </c>
      <c r="K125" s="1"/>
      <c r="L125" s="9"/>
    </row>
    <row r="126" spans="1:12" x14ac:dyDescent="0.3">
      <c r="A126" s="1">
        <v>115</v>
      </c>
      <c r="B126" s="9" t="s">
        <v>140</v>
      </c>
      <c r="C126">
        <f>IF('muut muuttujat'!$G$3=2,1,0)</f>
        <v>0</v>
      </c>
      <c r="E126">
        <f t="shared" si="4"/>
        <v>0</v>
      </c>
      <c r="K126" s="1"/>
      <c r="L126" s="9"/>
    </row>
    <row r="127" spans="1:12" x14ac:dyDescent="0.3">
      <c r="A127" s="1">
        <v>116</v>
      </c>
      <c r="B127" s="1" t="s">
        <v>215</v>
      </c>
      <c r="C127">
        <f>IF('muut muuttujat'!$G$3=2,1,0)</f>
        <v>0</v>
      </c>
      <c r="E127">
        <f t="shared" si="4"/>
        <v>0</v>
      </c>
      <c r="I127">
        <v>2</v>
      </c>
      <c r="K127" s="1"/>
      <c r="L127" s="9"/>
    </row>
    <row r="128" spans="1:12" x14ac:dyDescent="0.3">
      <c r="A128" s="1">
        <v>117</v>
      </c>
      <c r="B128" s="1" t="s">
        <v>466</v>
      </c>
      <c r="C128">
        <f>IF('muut muuttujat'!$G$3=2,1,0)</f>
        <v>0</v>
      </c>
      <c r="E128">
        <f t="shared" si="4"/>
        <v>0</v>
      </c>
      <c r="K128" s="1"/>
      <c r="L128" s="9"/>
    </row>
    <row r="129" spans="1:12" x14ac:dyDescent="0.3">
      <c r="A129" s="1">
        <v>118</v>
      </c>
      <c r="B129" s="1" t="s">
        <v>467</v>
      </c>
      <c r="C129">
        <f>IF('muut muuttujat'!$G$3=2,1,0)</f>
        <v>0</v>
      </c>
      <c r="E129">
        <f t="shared" si="4"/>
        <v>0</v>
      </c>
      <c r="K129" s="1"/>
      <c r="L129" s="9"/>
    </row>
    <row r="130" spans="1:12" x14ac:dyDescent="0.3">
      <c r="A130" s="1">
        <v>119</v>
      </c>
      <c r="B130" s="1" t="s">
        <v>468</v>
      </c>
      <c r="C130">
        <f>IF('muut muuttujat'!$G$3=2,1,0)</f>
        <v>0</v>
      </c>
      <c r="E130">
        <f t="shared" si="4"/>
        <v>0</v>
      </c>
    </row>
    <row r="131" spans="1:12" x14ac:dyDescent="0.3">
      <c r="A131" s="1">
        <v>120</v>
      </c>
      <c r="B131" s="1" t="s">
        <v>469</v>
      </c>
      <c r="C131">
        <f>IF('muut muuttujat'!$G$3=2,1,0)</f>
        <v>0</v>
      </c>
      <c r="E131">
        <f t="shared" si="4"/>
        <v>0</v>
      </c>
    </row>
    <row r="148" spans="2:2" x14ac:dyDescent="0.3">
      <c r="B148" s="11"/>
    </row>
    <row r="149" spans="2:2" x14ac:dyDescent="0.3">
      <c r="B149" s="3"/>
    </row>
    <row r="151" spans="2:2" x14ac:dyDescent="0.3">
      <c r="B151" s="9"/>
    </row>
    <row r="153" spans="2:2" x14ac:dyDescent="0.3">
      <c r="B153" s="11"/>
    </row>
    <row r="160" spans="2:2" x14ac:dyDescent="0.3">
      <c r="B160" s="11"/>
    </row>
    <row r="161" spans="2:2" x14ac:dyDescent="0.3">
      <c r="B161" s="3"/>
    </row>
    <row r="163" spans="2:2" x14ac:dyDescent="0.3">
      <c r="B163" s="9"/>
    </row>
    <row r="179" spans="2:2" x14ac:dyDescent="0.3">
      <c r="B179" s="3"/>
    </row>
    <row r="183" spans="2:2" x14ac:dyDescent="0.3">
      <c r="B183" s="3"/>
    </row>
    <row r="189" spans="2:2" x14ac:dyDescent="0.3">
      <c r="B189" s="3"/>
    </row>
    <row r="195" spans="2:2" x14ac:dyDescent="0.3">
      <c r="B195" s="3"/>
    </row>
    <row r="202" spans="2:2" x14ac:dyDescent="0.3">
      <c r="B202" s="3"/>
    </row>
    <row r="206" spans="2:2" x14ac:dyDescent="0.3">
      <c r="B206" s="3"/>
    </row>
    <row r="216" spans="2:2" x14ac:dyDescent="0.3">
      <c r="B216" s="3"/>
    </row>
    <row r="222" spans="2:2" x14ac:dyDescent="0.3">
      <c r="B222" s="3"/>
    </row>
  </sheetData>
  <customSheetViews>
    <customSheetView guid="{47112B69-009E-46FE-82EA-A4F5B6C4FF1D}" state="hidden" showRuler="0">
      <selection activeCell="D11" sqref="D11"/>
      <pageMargins left="0.75" right="0.75" top="1" bottom="1" header="0.4921259845" footer="0.4921259845"/>
      <headerFooter alignWithMargins="0"/>
    </customSheetView>
  </customSheetView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2"/>
  <dimension ref="A1:AL219"/>
  <sheetViews>
    <sheetView zoomScale="90" zoomScaleNormal="90" workbookViewId="0">
      <pane xSplit="2" ySplit="5" topLeftCell="C100" activePane="bottomRight" state="frozen"/>
      <selection activeCell="C157" sqref="C157"/>
      <selection pane="topRight" activeCell="C157" sqref="C157"/>
      <selection pane="bottomLeft" activeCell="C157" sqref="C157"/>
      <selection pane="bottomRight" activeCell="L115" sqref="L115"/>
    </sheetView>
  </sheetViews>
  <sheetFormatPr defaultColWidth="9.109375" defaultRowHeight="13.8" x14ac:dyDescent="0.3"/>
  <cols>
    <col min="1" max="1" width="5" style="1" customWidth="1"/>
    <col min="2" max="2" width="67.33203125" style="1" customWidth="1"/>
    <col min="3" max="3" width="10.44140625" style="1" customWidth="1"/>
    <col min="4" max="4" width="8" style="3" customWidth="1"/>
    <col min="5" max="5" width="8.109375" style="1" customWidth="1"/>
    <col min="6" max="6" width="8.33203125" style="1" customWidth="1"/>
    <col min="7" max="7" width="8.33203125" customWidth="1"/>
    <col min="8" max="10" width="8.33203125" style="2" customWidth="1"/>
    <col min="11" max="15" width="8.33203125" style="1" customWidth="1"/>
    <col min="16" max="16" width="12" style="1" customWidth="1"/>
    <col min="17" max="17" width="14.5546875" style="1" customWidth="1"/>
    <col min="18" max="19" width="7.5546875" style="1" customWidth="1"/>
    <col min="20" max="23" width="5.44140625" style="1" customWidth="1"/>
    <col min="24" max="29" width="6.5546875" style="1" customWidth="1"/>
    <col min="30" max="30" width="9.109375" style="1"/>
    <col min="31" max="31" width="9.6640625" style="1" bestFit="1" customWidth="1"/>
    <col min="32" max="16384" width="9.109375" style="1"/>
  </cols>
  <sheetData>
    <row r="1" spans="1:38" ht="16.8" x14ac:dyDescent="0.3">
      <c r="B1" s="4" t="s">
        <v>588</v>
      </c>
      <c r="C1" s="115" t="s">
        <v>589</v>
      </c>
      <c r="G1" s="1"/>
      <c r="I1" s="5"/>
      <c r="J1" s="5"/>
      <c r="K1" s="5"/>
    </row>
    <row r="2" spans="1:38" x14ac:dyDescent="0.3">
      <c r="E2" s="10"/>
      <c r="F2" s="10"/>
      <c r="G2" s="10"/>
      <c r="H2" s="10"/>
      <c r="I2" s="10"/>
      <c r="J2" s="10"/>
      <c r="O2" s="10"/>
      <c r="P2" s="10"/>
      <c r="Q2" s="10"/>
    </row>
    <row r="3" spans="1:38" ht="14.4" thickBot="1" x14ac:dyDescent="0.35">
      <c r="A3" s="1" t="s">
        <v>5</v>
      </c>
      <c r="C3" s="7" t="s">
        <v>72</v>
      </c>
      <c r="D3" s="7" t="s">
        <v>72</v>
      </c>
      <c r="E3" s="8" t="s">
        <v>73</v>
      </c>
      <c r="F3" s="8" t="s">
        <v>73</v>
      </c>
      <c r="G3" s="1"/>
      <c r="I3" s="5"/>
      <c r="J3" s="5"/>
      <c r="K3" s="5"/>
    </row>
    <row r="4" spans="1:38" ht="14.4" thickBot="1" x14ac:dyDescent="0.35">
      <c r="A4" s="16">
        <v>1</v>
      </c>
      <c r="B4" s="7" t="s">
        <v>1</v>
      </c>
      <c r="C4" s="8" t="s">
        <v>10</v>
      </c>
      <c r="D4" s="8" t="s">
        <v>10</v>
      </c>
      <c r="E4" s="8" t="s">
        <v>10</v>
      </c>
      <c r="F4" s="8" t="s">
        <v>10</v>
      </c>
      <c r="G4" s="3" t="s">
        <v>9</v>
      </c>
      <c r="H4" s="3" t="s">
        <v>9</v>
      </c>
      <c r="I4" s="8" t="s">
        <v>12</v>
      </c>
      <c r="J4" s="8" t="s">
        <v>12</v>
      </c>
      <c r="K4" s="8" t="s">
        <v>13</v>
      </c>
      <c r="L4" s="8" t="s">
        <v>13</v>
      </c>
      <c r="M4" s="3" t="s">
        <v>14</v>
      </c>
      <c r="N4" s="3" t="s">
        <v>14</v>
      </c>
      <c r="O4" s="3" t="s">
        <v>15</v>
      </c>
      <c r="P4" s="3" t="s">
        <v>15</v>
      </c>
      <c r="Q4" s="3" t="s">
        <v>216</v>
      </c>
      <c r="R4" s="55" t="s">
        <v>90</v>
      </c>
      <c r="S4" s="55"/>
      <c r="T4" s="51"/>
      <c r="U4" s="51"/>
      <c r="V4" s="51"/>
      <c r="W4" s="54"/>
      <c r="X4" s="55" t="s">
        <v>103</v>
      </c>
      <c r="Y4" s="55"/>
      <c r="Z4" s="51"/>
      <c r="AA4" s="51"/>
      <c r="AB4" s="51"/>
      <c r="AC4" s="54"/>
      <c r="AE4" s="1" t="s">
        <v>90</v>
      </c>
    </row>
    <row r="5" spans="1:38" ht="14.4" thickBot="1" x14ac:dyDescent="0.35">
      <c r="B5" s="3" t="s">
        <v>4</v>
      </c>
      <c r="C5" s="3" t="s">
        <v>2</v>
      </c>
      <c r="D5" s="3" t="s">
        <v>3</v>
      </c>
      <c r="E5" s="3" t="s">
        <v>2</v>
      </c>
      <c r="F5" s="3" t="s">
        <v>3</v>
      </c>
      <c r="G5" s="3" t="s">
        <v>2</v>
      </c>
      <c r="H5" s="3" t="s">
        <v>3</v>
      </c>
      <c r="I5" s="3" t="s">
        <v>2</v>
      </c>
      <c r="J5" s="3" t="s">
        <v>3</v>
      </c>
      <c r="K5" s="3" t="s">
        <v>2</v>
      </c>
      <c r="L5" s="3" t="s">
        <v>3</v>
      </c>
      <c r="M5" s="3" t="s">
        <v>2</v>
      </c>
      <c r="N5" s="3" t="s">
        <v>3</v>
      </c>
      <c r="O5" s="3" t="s">
        <v>2</v>
      </c>
      <c r="P5" s="3" t="s">
        <v>3</v>
      </c>
      <c r="Q5" s="3" t="s">
        <v>217</v>
      </c>
      <c r="R5" s="88" t="s">
        <v>96</v>
      </c>
      <c r="S5" s="89" t="s">
        <v>91</v>
      </c>
      <c r="T5" s="90" t="s">
        <v>92</v>
      </c>
      <c r="U5" s="90" t="s">
        <v>93</v>
      </c>
      <c r="V5" s="90" t="s">
        <v>94</v>
      </c>
      <c r="W5" s="91" t="s">
        <v>95</v>
      </c>
      <c r="X5" s="88" t="s">
        <v>96</v>
      </c>
      <c r="Y5" s="89" t="s">
        <v>91</v>
      </c>
      <c r="Z5" s="90" t="s">
        <v>92</v>
      </c>
      <c r="AA5" s="90" t="s">
        <v>93</v>
      </c>
      <c r="AB5" s="90" t="s">
        <v>94</v>
      </c>
      <c r="AC5" s="91" t="s">
        <v>95</v>
      </c>
      <c r="AE5" s="1" t="s">
        <v>96</v>
      </c>
      <c r="AF5" s="1" t="s">
        <v>91</v>
      </c>
      <c r="AG5" s="1" t="s">
        <v>92</v>
      </c>
      <c r="AH5" s="1" t="s">
        <v>93</v>
      </c>
      <c r="AI5" s="1" t="s">
        <v>94</v>
      </c>
      <c r="AJ5" s="1" t="s">
        <v>95</v>
      </c>
    </row>
    <row r="6" spans="1:38" x14ac:dyDescent="0.3">
      <c r="A6" s="1">
        <v>1</v>
      </c>
      <c r="B6" s="9" t="s">
        <v>234</v>
      </c>
      <c r="C6" s="160">
        <f>VLOOKUP(MID(B6,1,8)-0,'1.6.2024'!$B$9:$G$160,3,FALSE)</f>
        <v>4092.18</v>
      </c>
      <c r="D6" s="160">
        <f>VLOOKUP(MID(B6,1,8)-0,'1.6.2024'!$B$9:$G$160,5,FALSE)</f>
        <v>4053.04</v>
      </c>
      <c r="E6" s="10">
        <f>IF('muut muuttujat'!$G$3=1,C6,KÄYTTÖTAULU!$B$13)</f>
        <v>4092.18</v>
      </c>
      <c r="F6" s="10">
        <f>IF('muut muuttujat'!$G$3=1,D6,KÄYTTÖTAULU!$B$13)</f>
        <v>4053.04</v>
      </c>
      <c r="G6" s="10"/>
      <c r="H6" s="211"/>
      <c r="I6" s="10"/>
      <c r="J6" s="10"/>
      <c r="O6" s="10"/>
      <c r="P6" s="10"/>
      <c r="Q6" s="10"/>
      <c r="R6" s="50">
        <v>0</v>
      </c>
      <c r="S6" s="52">
        <v>0</v>
      </c>
      <c r="T6" s="52">
        <v>0</v>
      </c>
      <c r="U6" s="52">
        <v>5</v>
      </c>
      <c r="V6" s="52">
        <v>5</v>
      </c>
      <c r="W6" s="53">
        <v>10</v>
      </c>
      <c r="X6" s="52">
        <v>1</v>
      </c>
      <c r="Y6" s="52">
        <f>1+S6/100</f>
        <v>1</v>
      </c>
      <c r="Z6" s="52">
        <f>(1+T6/100)*Y6</f>
        <v>1</v>
      </c>
      <c r="AA6" s="52">
        <f>(1+U6/100)*Z6</f>
        <v>1.05</v>
      </c>
      <c r="AB6" s="52">
        <f>(1+V6/100)*AA6</f>
        <v>1.1025</v>
      </c>
      <c r="AC6" s="53">
        <f>(1+W6/100)*AB6</f>
        <v>1.2127500000000002</v>
      </c>
      <c r="AE6" s="1">
        <v>0</v>
      </c>
      <c r="AF6" s="1">
        <v>0</v>
      </c>
      <c r="AG6" s="1">
        <v>0</v>
      </c>
      <c r="AH6" s="1">
        <v>5</v>
      </c>
      <c r="AI6" s="1">
        <v>5</v>
      </c>
      <c r="AJ6" s="1">
        <v>10</v>
      </c>
      <c r="AL6" s="1">
        <f>AG6-T6</f>
        <v>0</v>
      </c>
    </row>
    <row r="7" spans="1:38" x14ac:dyDescent="0.3">
      <c r="A7" s="1">
        <v>2</v>
      </c>
      <c r="B7" s="9" t="s">
        <v>235</v>
      </c>
      <c r="C7" s="160">
        <f>VLOOKUP(MID(B7,1,8)-0,'1.6.2024'!$B$9:$G$160,3,FALSE)</f>
        <v>4227.1499999999996</v>
      </c>
      <c r="D7" s="160">
        <f>VLOOKUP(MID(B7,1,8)-0,'1.6.2024'!$B$9:$G$160,5,FALSE)</f>
        <v>4186.7</v>
      </c>
      <c r="E7" s="10">
        <f>IF('muut muuttujat'!$G$3=1,C7,KÄYTTÖTAULU!$B$13)</f>
        <v>4227.1499999999996</v>
      </c>
      <c r="F7" s="10">
        <f>IF('muut muuttujat'!$G$3=1,D7,KÄYTTÖTAULU!$B$13)</f>
        <v>4186.7</v>
      </c>
      <c r="G7" s="10"/>
      <c r="H7" s="211"/>
      <c r="I7" s="10"/>
      <c r="J7" s="10"/>
      <c r="O7" s="10"/>
      <c r="P7" s="10"/>
      <c r="Q7" s="10"/>
      <c r="R7" s="17">
        <v>0</v>
      </c>
      <c r="S7" s="1">
        <v>0</v>
      </c>
      <c r="T7" s="1">
        <v>0</v>
      </c>
      <c r="U7" s="1">
        <v>5</v>
      </c>
      <c r="V7" s="1">
        <v>5</v>
      </c>
      <c r="W7" s="40">
        <v>10</v>
      </c>
      <c r="X7" s="1">
        <v>1</v>
      </c>
      <c r="Y7" s="1">
        <f t="shared" ref="Y7:Y80" si="0">1+S7/100</f>
        <v>1</v>
      </c>
      <c r="Z7" s="1">
        <f t="shared" ref="Z7:Z80" si="1">(1+T7/100)*Y7</f>
        <v>1</v>
      </c>
      <c r="AA7" s="1">
        <f t="shared" ref="AA7:AA80" si="2">(1+U7/100)*Z7</f>
        <v>1.05</v>
      </c>
      <c r="AB7" s="1">
        <f>(1+V7/100)*AA7</f>
        <v>1.1025</v>
      </c>
      <c r="AC7" s="40">
        <f>(1+W7/100)*AB7</f>
        <v>1.2127500000000002</v>
      </c>
      <c r="AE7" s="1">
        <v>0</v>
      </c>
      <c r="AF7" s="1">
        <v>0</v>
      </c>
      <c r="AG7" s="1">
        <v>0</v>
      </c>
      <c r="AH7" s="1">
        <v>5</v>
      </c>
      <c r="AI7" s="1">
        <v>5</v>
      </c>
      <c r="AJ7" s="1">
        <v>10</v>
      </c>
      <c r="AL7" s="1">
        <f t="shared" ref="AL7:AL75" si="3">AG7-T7</f>
        <v>0</v>
      </c>
    </row>
    <row r="8" spans="1:38" x14ac:dyDescent="0.3">
      <c r="A8" s="1">
        <v>3</v>
      </c>
      <c r="B8" s="9" t="s">
        <v>350</v>
      </c>
      <c r="C8" s="160">
        <f>VLOOKUP(MID(B8,1,8)-0,'1.6.2024'!$B$9:$G$160,3,FALSE)</f>
        <v>4394.8500000000004</v>
      </c>
      <c r="D8" s="160">
        <f>VLOOKUP(MID(B8,1,8)-0,'1.6.2024'!$B$9:$G$160,5,FALSE)</f>
        <v>4352.76</v>
      </c>
      <c r="E8" s="10">
        <f>IF('muut muuttujat'!$G$3=1,C8,KÄYTTÖTAULU!$B$13)</f>
        <v>4394.8500000000004</v>
      </c>
      <c r="F8" s="10">
        <f>IF('muut muuttujat'!$G$3=1,D8,KÄYTTÖTAULU!$B$13)</f>
        <v>4352.76</v>
      </c>
      <c r="G8" s="10"/>
      <c r="H8" s="10"/>
      <c r="I8" s="10"/>
      <c r="J8" s="10"/>
      <c r="O8" s="10"/>
      <c r="P8" s="10"/>
      <c r="Q8" s="10"/>
      <c r="R8" s="17">
        <v>0</v>
      </c>
      <c r="S8" s="1">
        <v>0</v>
      </c>
      <c r="T8" s="1">
        <v>0</v>
      </c>
      <c r="U8" s="1">
        <v>5</v>
      </c>
      <c r="V8" s="1">
        <v>5</v>
      </c>
      <c r="W8" s="40">
        <v>10</v>
      </c>
      <c r="X8" s="1">
        <v>1</v>
      </c>
      <c r="Y8" s="1">
        <f t="shared" si="0"/>
        <v>1</v>
      </c>
      <c r="Z8" s="1">
        <f t="shared" si="1"/>
        <v>1</v>
      </c>
      <c r="AA8" s="1">
        <f t="shared" si="2"/>
        <v>1.05</v>
      </c>
      <c r="AB8" s="1">
        <f>(1+V8/100)*AA8</f>
        <v>1.1025</v>
      </c>
      <c r="AC8" s="40">
        <f t="shared" ref="AC8:AC81" si="4">(1+W8/100)*AB8</f>
        <v>1.2127500000000002</v>
      </c>
      <c r="AE8" s="1">
        <v>0</v>
      </c>
      <c r="AF8" s="1">
        <v>0</v>
      </c>
      <c r="AG8" s="1">
        <v>0</v>
      </c>
      <c r="AH8" s="1">
        <v>5</v>
      </c>
      <c r="AI8" s="1">
        <v>5</v>
      </c>
      <c r="AJ8" s="1">
        <v>10</v>
      </c>
      <c r="AL8" s="1">
        <f t="shared" si="3"/>
        <v>0</v>
      </c>
    </row>
    <row r="9" spans="1:38" x14ac:dyDescent="0.3">
      <c r="A9" s="1">
        <v>4</v>
      </c>
      <c r="B9" s="9" t="s">
        <v>351</v>
      </c>
      <c r="C9" s="160">
        <f>VLOOKUP(MID(B9,1,8)-0,'1.6.2024'!$B$9:$G$160,3,FALSE)</f>
        <v>4581.6400000000003</v>
      </c>
      <c r="D9" s="160">
        <f>VLOOKUP(MID(B9,1,8)-0,'1.6.2024'!$B$9:$G$160,5,FALSE)</f>
        <v>4537.7700000000004</v>
      </c>
      <c r="E9" s="10">
        <f>IF('muut muuttujat'!$G$3=1,C9,KÄYTTÖTAULU!$B$13)</f>
        <v>4581.6400000000003</v>
      </c>
      <c r="F9" s="10">
        <f>IF('muut muuttujat'!$G$3=1,D9,KÄYTTÖTAULU!$B$13)</f>
        <v>4537.7700000000004</v>
      </c>
      <c r="G9" s="10"/>
      <c r="H9" s="10"/>
      <c r="I9" s="10"/>
      <c r="J9" s="10"/>
      <c r="O9" s="10"/>
      <c r="P9" s="10"/>
      <c r="Q9" s="10"/>
      <c r="R9" s="17">
        <v>0</v>
      </c>
      <c r="S9" s="1">
        <v>0</v>
      </c>
      <c r="T9" s="1">
        <v>0</v>
      </c>
      <c r="U9" s="1">
        <v>5</v>
      </c>
      <c r="V9" s="1">
        <v>5</v>
      </c>
      <c r="W9" s="40">
        <v>10</v>
      </c>
      <c r="X9" s="1">
        <v>1</v>
      </c>
      <c r="Y9" s="1">
        <f t="shared" ref="Y9:Y16" si="5">1+S9/100</f>
        <v>1</v>
      </c>
      <c r="Z9" s="1">
        <f t="shared" ref="Z9:Z16" si="6">(1+T9/100)*Y9</f>
        <v>1</v>
      </c>
      <c r="AA9" s="1">
        <f t="shared" ref="AA9:AA16" si="7">(1+U9/100)*Z9</f>
        <v>1.05</v>
      </c>
      <c r="AB9" s="1">
        <f t="shared" ref="AB9:AB16" si="8">(1+V9/100)*AA9</f>
        <v>1.1025</v>
      </c>
      <c r="AC9" s="40">
        <f t="shared" ref="AC9:AC16" si="9">(1+W9/100)*AB9</f>
        <v>1.2127500000000002</v>
      </c>
      <c r="AE9" s="1">
        <v>0</v>
      </c>
      <c r="AF9" s="1">
        <v>0</v>
      </c>
      <c r="AG9" s="1">
        <v>0</v>
      </c>
      <c r="AH9" s="1">
        <v>5</v>
      </c>
      <c r="AI9" s="1">
        <v>5</v>
      </c>
      <c r="AJ9" s="1">
        <v>10</v>
      </c>
      <c r="AL9" s="1">
        <f t="shared" si="3"/>
        <v>0</v>
      </c>
    </row>
    <row r="10" spans="1:38" x14ac:dyDescent="0.3">
      <c r="A10" s="1">
        <v>5</v>
      </c>
      <c r="B10" s="9" t="s">
        <v>236</v>
      </c>
      <c r="C10" s="160">
        <f>VLOOKUP(MID(B10,1,8)-0,'1.6.2024'!$B$9:$G$160,3,FALSE)</f>
        <v>4227.1499999999996</v>
      </c>
      <c r="D10" s="160">
        <f>VLOOKUP(MID(B10,1,8)-0,'1.6.2024'!$B$9:$G$160,5,FALSE)</f>
        <v>4186.7</v>
      </c>
      <c r="E10" s="10">
        <f>IF('muut muuttujat'!$G$3=1,C10,KÄYTTÖTAULU!$B$13)</f>
        <v>4227.1499999999996</v>
      </c>
      <c r="F10" s="10">
        <f>IF('muut muuttujat'!$G$3=1,D10,KÄYTTÖTAULU!$B$13)</f>
        <v>4186.7</v>
      </c>
      <c r="G10" s="10"/>
      <c r="H10" s="10"/>
      <c r="I10" s="10"/>
      <c r="J10" s="10"/>
      <c r="O10" s="10"/>
      <c r="P10" s="10"/>
      <c r="Q10" s="10"/>
      <c r="R10" s="17">
        <v>0</v>
      </c>
      <c r="S10" s="1">
        <v>0</v>
      </c>
      <c r="T10" s="1">
        <v>0</v>
      </c>
      <c r="U10" s="1">
        <v>5</v>
      </c>
      <c r="V10" s="1">
        <v>5</v>
      </c>
      <c r="W10" s="40">
        <v>10</v>
      </c>
      <c r="X10" s="1">
        <v>1</v>
      </c>
      <c r="Y10" s="1">
        <f t="shared" si="5"/>
        <v>1</v>
      </c>
      <c r="Z10" s="1">
        <f t="shared" si="6"/>
        <v>1</v>
      </c>
      <c r="AA10" s="1">
        <f t="shared" si="7"/>
        <v>1.05</v>
      </c>
      <c r="AB10" s="1">
        <f t="shared" si="8"/>
        <v>1.1025</v>
      </c>
      <c r="AC10" s="40">
        <f t="shared" si="9"/>
        <v>1.2127500000000002</v>
      </c>
      <c r="AE10" s="1">
        <v>0</v>
      </c>
      <c r="AF10" s="1">
        <v>0</v>
      </c>
      <c r="AG10" s="1">
        <v>0</v>
      </c>
      <c r="AH10" s="1">
        <v>5</v>
      </c>
      <c r="AI10" s="1">
        <v>5</v>
      </c>
      <c r="AJ10" s="1">
        <v>10</v>
      </c>
      <c r="AL10" s="1">
        <f t="shared" si="3"/>
        <v>0</v>
      </c>
    </row>
    <row r="11" spans="1:38" x14ac:dyDescent="0.3">
      <c r="A11" s="1">
        <v>6</v>
      </c>
      <c r="B11" s="9" t="s">
        <v>237</v>
      </c>
      <c r="C11" s="160">
        <f>VLOOKUP(MID(B11,1,8)-0,'1.6.2024'!$B$9:$G$160,3,FALSE)</f>
        <v>4571.8599999999997</v>
      </c>
      <c r="D11" s="160">
        <f>VLOOKUP(MID(B11,1,8)-0,'1.6.2024'!$B$9:$G$160,5,FALSE)</f>
        <v>4528.12</v>
      </c>
      <c r="E11" s="10">
        <f>IF('muut muuttujat'!$G$3=1,C11,KÄYTTÖTAULU!$B$13)</f>
        <v>4571.8599999999997</v>
      </c>
      <c r="F11" s="10">
        <f>IF('muut muuttujat'!$G$3=1,D11,KÄYTTÖTAULU!$B$13)</f>
        <v>4528.12</v>
      </c>
      <c r="G11" s="10"/>
      <c r="H11" s="10"/>
      <c r="I11" s="10"/>
      <c r="J11" s="10"/>
      <c r="O11" s="10"/>
      <c r="P11" s="10"/>
      <c r="Q11" s="10"/>
      <c r="R11" s="17">
        <v>0</v>
      </c>
      <c r="S11" s="1">
        <v>0</v>
      </c>
      <c r="T11" s="1">
        <v>0</v>
      </c>
      <c r="U11" s="1">
        <v>5</v>
      </c>
      <c r="V11" s="1">
        <v>5</v>
      </c>
      <c r="W11" s="40">
        <v>10</v>
      </c>
      <c r="X11" s="1">
        <v>1</v>
      </c>
      <c r="Y11" s="1">
        <f t="shared" si="5"/>
        <v>1</v>
      </c>
      <c r="Z11" s="1">
        <f t="shared" si="6"/>
        <v>1</v>
      </c>
      <c r="AA11" s="1">
        <f t="shared" si="7"/>
        <v>1.05</v>
      </c>
      <c r="AB11" s="1">
        <f t="shared" si="8"/>
        <v>1.1025</v>
      </c>
      <c r="AC11" s="40">
        <f t="shared" si="9"/>
        <v>1.2127500000000002</v>
      </c>
      <c r="AE11" s="1">
        <v>0</v>
      </c>
      <c r="AF11" s="1">
        <v>0</v>
      </c>
      <c r="AG11" s="1">
        <v>0</v>
      </c>
      <c r="AH11" s="1">
        <v>5</v>
      </c>
      <c r="AI11" s="1">
        <v>5</v>
      </c>
      <c r="AJ11" s="1">
        <v>10</v>
      </c>
      <c r="AL11" s="1">
        <f t="shared" si="3"/>
        <v>0</v>
      </c>
    </row>
    <row r="12" spans="1:38" x14ac:dyDescent="0.3">
      <c r="A12" s="1">
        <v>7</v>
      </c>
      <c r="B12" s="9" t="s">
        <v>238</v>
      </c>
      <c r="C12" s="160">
        <f>VLOOKUP(MID(B12,1,8)-0,'1.6.2024'!$B$9:$G$160,3,FALSE)</f>
        <v>4770.6400000000003</v>
      </c>
      <c r="D12" s="160">
        <f>VLOOKUP(MID(B12,1,8)-0,'1.6.2024'!$B$9:$G$160,5,FALSE)</f>
        <v>4725.04</v>
      </c>
      <c r="E12" s="10">
        <f>IF('muut muuttujat'!$G$3=1,C12,KÄYTTÖTAULU!$B$13)</f>
        <v>4770.6400000000003</v>
      </c>
      <c r="F12" s="10">
        <f>IF('muut muuttujat'!$G$3=1,D12,KÄYTTÖTAULU!$B$13)</f>
        <v>4725.04</v>
      </c>
      <c r="G12" s="10"/>
      <c r="H12" s="10"/>
      <c r="I12" s="10"/>
      <c r="J12" s="10"/>
      <c r="O12" s="10"/>
      <c r="P12" s="10"/>
      <c r="Q12" s="10"/>
      <c r="R12" s="17">
        <v>0</v>
      </c>
      <c r="S12" s="1">
        <v>0</v>
      </c>
      <c r="T12" s="1">
        <v>0</v>
      </c>
      <c r="U12" s="1">
        <v>5</v>
      </c>
      <c r="V12" s="1">
        <v>5</v>
      </c>
      <c r="W12" s="40">
        <v>10</v>
      </c>
      <c r="X12" s="1">
        <v>1</v>
      </c>
      <c r="Y12" s="1">
        <f t="shared" si="5"/>
        <v>1</v>
      </c>
      <c r="Z12" s="1">
        <f t="shared" si="6"/>
        <v>1</v>
      </c>
      <c r="AA12" s="1">
        <f t="shared" si="7"/>
        <v>1.05</v>
      </c>
      <c r="AB12" s="1">
        <f t="shared" si="8"/>
        <v>1.1025</v>
      </c>
      <c r="AC12" s="40">
        <f t="shared" si="9"/>
        <v>1.2127500000000002</v>
      </c>
      <c r="AE12" s="1">
        <v>0</v>
      </c>
      <c r="AF12" s="1">
        <v>0</v>
      </c>
      <c r="AG12" s="1">
        <v>0</v>
      </c>
      <c r="AH12" s="1">
        <v>5</v>
      </c>
      <c r="AI12" s="1">
        <v>5</v>
      </c>
      <c r="AJ12" s="1">
        <v>10</v>
      </c>
      <c r="AL12" s="1">
        <f t="shared" si="3"/>
        <v>0</v>
      </c>
    </row>
    <row r="13" spans="1:38" x14ac:dyDescent="0.3">
      <c r="A13" s="1">
        <v>8</v>
      </c>
      <c r="B13" s="9" t="s">
        <v>358</v>
      </c>
      <c r="C13" s="160">
        <f>VLOOKUP(MID(B13,1,8)-0,'1.6.2024'!$B$9:$G$160,3,FALSE)</f>
        <v>4973.57</v>
      </c>
      <c r="D13" s="160">
        <f>VLOOKUP(MID(B13,1,8)-0,'1.6.2024'!$B$9:$G$160,5,FALSE)</f>
        <v>4925.96</v>
      </c>
      <c r="E13" s="10">
        <f>IF('muut muuttujat'!$G$3=1,C13,KÄYTTÖTAULU!$B$13)</f>
        <v>4973.57</v>
      </c>
      <c r="F13" s="10">
        <f>IF('muut muuttujat'!$G$3=1,D13,KÄYTTÖTAULU!$B$13)</f>
        <v>4925.96</v>
      </c>
      <c r="G13" s="10"/>
      <c r="H13" s="10"/>
      <c r="I13" s="10"/>
      <c r="J13" s="10"/>
      <c r="O13" s="10"/>
      <c r="P13" s="10"/>
      <c r="Q13" s="10"/>
      <c r="R13" s="17">
        <v>0</v>
      </c>
      <c r="S13" s="1">
        <v>0</v>
      </c>
      <c r="T13" s="1">
        <v>0</v>
      </c>
      <c r="U13" s="1">
        <v>5</v>
      </c>
      <c r="V13" s="1">
        <v>5</v>
      </c>
      <c r="W13" s="40">
        <v>10</v>
      </c>
      <c r="X13" s="1">
        <v>1</v>
      </c>
      <c r="Y13" s="1">
        <f t="shared" si="5"/>
        <v>1</v>
      </c>
      <c r="Z13" s="1">
        <f t="shared" si="6"/>
        <v>1</v>
      </c>
      <c r="AA13" s="1">
        <f t="shared" si="7"/>
        <v>1.05</v>
      </c>
      <c r="AB13" s="1">
        <f t="shared" si="8"/>
        <v>1.1025</v>
      </c>
      <c r="AC13" s="40">
        <f t="shared" si="9"/>
        <v>1.2127500000000002</v>
      </c>
      <c r="AE13" s="1">
        <v>0</v>
      </c>
      <c r="AF13" s="1">
        <v>0</v>
      </c>
      <c r="AG13" s="1">
        <v>0</v>
      </c>
      <c r="AH13" s="1">
        <v>5</v>
      </c>
      <c r="AI13" s="1">
        <v>5</v>
      </c>
      <c r="AJ13" s="1">
        <v>10</v>
      </c>
      <c r="AL13" s="1">
        <f t="shared" si="3"/>
        <v>0</v>
      </c>
    </row>
    <row r="14" spans="1:38" x14ac:dyDescent="0.3">
      <c r="A14" s="1">
        <v>9</v>
      </c>
      <c r="B14" s="9" t="s">
        <v>496</v>
      </c>
      <c r="C14" s="160">
        <f>VLOOKUP(MID(B14,1,8)-0,'1.6.2024'!$B$9:$G$160,3,FALSE)</f>
        <v>5184.97</v>
      </c>
      <c r="D14" s="160">
        <f>VLOOKUP(MID(B14,1,8)-0,'1.6.2024'!$B$9:$G$160,5,FALSE)</f>
        <v>5135.34</v>
      </c>
      <c r="E14" s="10">
        <f>IF('muut muuttujat'!$G$3=1,C14,KÄYTTÖTAULU!$B$13)</f>
        <v>5184.97</v>
      </c>
      <c r="F14" s="10">
        <f>IF('muut muuttujat'!$G$3=1,D14,KÄYTTÖTAULU!$B$13)</f>
        <v>5135.34</v>
      </c>
      <c r="G14" s="10"/>
      <c r="H14" s="10"/>
      <c r="I14" s="10"/>
      <c r="J14" s="10"/>
      <c r="O14" s="10"/>
      <c r="P14" s="10"/>
      <c r="Q14" s="10"/>
      <c r="R14" s="17">
        <v>0</v>
      </c>
      <c r="S14" s="1">
        <v>0</v>
      </c>
      <c r="T14" s="1">
        <v>0</v>
      </c>
      <c r="U14" s="1">
        <v>5</v>
      </c>
      <c r="V14" s="1">
        <v>5</v>
      </c>
      <c r="W14" s="40">
        <v>10</v>
      </c>
      <c r="X14" s="1">
        <v>1</v>
      </c>
      <c r="Y14" s="1">
        <f t="shared" si="5"/>
        <v>1</v>
      </c>
      <c r="Z14" s="1">
        <f t="shared" si="6"/>
        <v>1</v>
      </c>
      <c r="AA14" s="1">
        <f t="shared" si="7"/>
        <v>1.05</v>
      </c>
      <c r="AB14" s="1">
        <f t="shared" si="8"/>
        <v>1.1025</v>
      </c>
      <c r="AC14" s="40">
        <f t="shared" si="9"/>
        <v>1.2127500000000002</v>
      </c>
      <c r="AE14" s="1">
        <v>0</v>
      </c>
      <c r="AF14" s="1">
        <v>0</v>
      </c>
      <c r="AG14" s="1">
        <v>0</v>
      </c>
      <c r="AH14" s="1">
        <v>5</v>
      </c>
      <c r="AI14" s="1">
        <v>5</v>
      </c>
      <c r="AJ14" s="1">
        <v>10</v>
      </c>
      <c r="AL14" s="1">
        <f t="shared" si="3"/>
        <v>0</v>
      </c>
    </row>
    <row r="15" spans="1:38" x14ac:dyDescent="0.3">
      <c r="A15" s="1">
        <v>10</v>
      </c>
      <c r="B15" s="9" t="s">
        <v>475</v>
      </c>
      <c r="C15" s="160">
        <f>VLOOKUP(MID(B15,1,8)-0,'1.6.2024'!$B$9:$G$160,3,FALSE)</f>
        <v>5434.68</v>
      </c>
      <c r="D15" s="160">
        <f>VLOOKUP(MID(B15,1,8)-0,'1.6.2024'!$B$9:$G$160,5,FALSE)</f>
        <v>5382.66</v>
      </c>
      <c r="E15" s="10">
        <f>IF('muut muuttujat'!$G$3=1,C15,KÄYTTÖTAULU!$B$13)</f>
        <v>5434.68</v>
      </c>
      <c r="F15" s="10">
        <f>IF('muut muuttujat'!$G$3=1,D15,KÄYTTÖTAULU!$B$13)</f>
        <v>5382.66</v>
      </c>
      <c r="G15" s="10"/>
      <c r="H15" s="10"/>
      <c r="I15" s="10"/>
      <c r="J15" s="10"/>
      <c r="O15" s="10"/>
      <c r="P15" s="10"/>
      <c r="Q15" s="10"/>
      <c r="R15" s="17">
        <v>0</v>
      </c>
      <c r="S15" s="1">
        <v>0</v>
      </c>
      <c r="T15" s="1">
        <v>0</v>
      </c>
      <c r="U15" s="1">
        <v>5</v>
      </c>
      <c r="V15" s="1">
        <v>5</v>
      </c>
      <c r="W15" s="40">
        <v>10</v>
      </c>
      <c r="X15" s="1">
        <v>1</v>
      </c>
      <c r="Y15" s="1">
        <f>1+S15/100</f>
        <v>1</v>
      </c>
      <c r="Z15" s="1">
        <f>(1+T15/100)*Y15</f>
        <v>1</v>
      </c>
      <c r="AA15" s="1">
        <f>(1+U15/100)*Z15</f>
        <v>1.05</v>
      </c>
      <c r="AB15" s="1">
        <f>(1+V15/100)*AA15</f>
        <v>1.1025</v>
      </c>
      <c r="AC15" s="40">
        <f>(1+W15/100)*AB15</f>
        <v>1.2127500000000002</v>
      </c>
    </row>
    <row r="16" spans="1:38" x14ac:dyDescent="0.3">
      <c r="A16" s="1">
        <v>11</v>
      </c>
      <c r="B16" s="9" t="s">
        <v>239</v>
      </c>
      <c r="C16" s="160">
        <f>VLOOKUP(MID(B16,1,8)-0,'1.6.2024'!$B$9:$G$160,3,FALSE)</f>
        <v>4227.1499999999996</v>
      </c>
      <c r="D16" s="160">
        <f>VLOOKUP(MID(B16,1,8)-0,'1.6.2024'!$B$9:$G$160,5,FALSE)</f>
        <v>4186.7</v>
      </c>
      <c r="E16" s="10">
        <f>IF('muut muuttujat'!$G$3=1,C16,KÄYTTÖTAULU!$B$13)</f>
        <v>4227.1499999999996</v>
      </c>
      <c r="F16" s="10">
        <f>IF('muut muuttujat'!$G$3=1,D16,KÄYTTÖTAULU!$B$13)</f>
        <v>4186.7</v>
      </c>
      <c r="G16" s="10"/>
      <c r="H16" s="10"/>
      <c r="I16" s="10"/>
      <c r="J16" s="10"/>
      <c r="O16" s="10"/>
      <c r="P16" s="10"/>
      <c r="Q16" s="10"/>
      <c r="R16" s="17">
        <v>0</v>
      </c>
      <c r="S16" s="1">
        <v>0</v>
      </c>
      <c r="T16" s="1">
        <v>0</v>
      </c>
      <c r="U16" s="1">
        <v>5</v>
      </c>
      <c r="V16" s="1">
        <v>5</v>
      </c>
      <c r="W16" s="40">
        <v>10</v>
      </c>
      <c r="X16" s="1">
        <v>1</v>
      </c>
      <c r="Y16" s="1">
        <f t="shared" si="5"/>
        <v>1</v>
      </c>
      <c r="Z16" s="1">
        <f t="shared" si="6"/>
        <v>1</v>
      </c>
      <c r="AA16" s="1">
        <f t="shared" si="7"/>
        <v>1.05</v>
      </c>
      <c r="AB16" s="1">
        <f t="shared" si="8"/>
        <v>1.1025</v>
      </c>
      <c r="AC16" s="40">
        <f t="shared" si="9"/>
        <v>1.2127500000000002</v>
      </c>
      <c r="AE16" s="1">
        <v>0</v>
      </c>
      <c r="AF16" s="1">
        <v>0</v>
      </c>
      <c r="AG16" s="1">
        <v>0</v>
      </c>
      <c r="AH16" s="1">
        <v>5</v>
      </c>
      <c r="AI16" s="1">
        <v>5</v>
      </c>
      <c r="AJ16" s="1">
        <v>10</v>
      </c>
      <c r="AL16" s="1">
        <f t="shared" si="3"/>
        <v>0</v>
      </c>
    </row>
    <row r="17" spans="1:38" x14ac:dyDescent="0.3">
      <c r="A17" s="1">
        <v>12</v>
      </c>
      <c r="B17" s="9" t="s">
        <v>240</v>
      </c>
      <c r="C17" s="160">
        <f>VLOOKUP(MID(B17,1,8)-0,'1.6.2024'!$B$9:$G$160,3,FALSE)</f>
        <v>4394.8500000000004</v>
      </c>
      <c r="D17" s="160">
        <f>VLOOKUP(MID(B17,1,8)-0,'1.6.2024'!$B$9:$G$160,5,FALSE)</f>
        <v>4352.76</v>
      </c>
      <c r="E17" s="10">
        <f>IF('muut muuttujat'!$G$3=1,C17,KÄYTTÖTAULU!$B$13)</f>
        <v>4394.8500000000004</v>
      </c>
      <c r="F17" s="10">
        <f>IF('muut muuttujat'!$G$3=1,D17,KÄYTTÖTAULU!$B$13)</f>
        <v>4352.76</v>
      </c>
      <c r="G17" s="10"/>
      <c r="H17" s="10"/>
      <c r="I17" s="10"/>
      <c r="J17" s="10"/>
      <c r="O17" s="10"/>
      <c r="P17" s="10"/>
      <c r="Q17" s="10"/>
      <c r="R17" s="17">
        <v>0</v>
      </c>
      <c r="S17" s="1">
        <v>0</v>
      </c>
      <c r="T17" s="1">
        <v>0</v>
      </c>
      <c r="U17" s="1">
        <v>5</v>
      </c>
      <c r="V17" s="1">
        <v>5</v>
      </c>
      <c r="W17" s="40">
        <v>10</v>
      </c>
      <c r="X17" s="1">
        <v>1</v>
      </c>
      <c r="Y17" s="1">
        <f t="shared" si="0"/>
        <v>1</v>
      </c>
      <c r="Z17" s="1">
        <f t="shared" si="1"/>
        <v>1</v>
      </c>
      <c r="AA17" s="1">
        <f t="shared" si="2"/>
        <v>1.05</v>
      </c>
      <c r="AB17" s="1">
        <f t="shared" ref="AB17:AB25" si="10">(1+V17/100)*AA17</f>
        <v>1.1025</v>
      </c>
      <c r="AC17" s="40">
        <f t="shared" si="4"/>
        <v>1.2127500000000002</v>
      </c>
      <c r="AE17" s="1">
        <v>0</v>
      </c>
      <c r="AF17" s="1">
        <v>0</v>
      </c>
      <c r="AG17" s="1">
        <v>0</v>
      </c>
      <c r="AH17" s="1">
        <v>5</v>
      </c>
      <c r="AI17" s="1">
        <v>5</v>
      </c>
      <c r="AJ17" s="1">
        <v>10</v>
      </c>
      <c r="AL17" s="1">
        <f t="shared" si="3"/>
        <v>0</v>
      </c>
    </row>
    <row r="18" spans="1:38" x14ac:dyDescent="0.3">
      <c r="A18" s="1">
        <v>13</v>
      </c>
      <c r="B18" s="9" t="s">
        <v>241</v>
      </c>
      <c r="C18" s="160">
        <f>VLOOKUP(MID(B18,1,8)-0,'1.6.2024'!$B$9:$G$160,3,FALSE)</f>
        <v>4770.6400000000003</v>
      </c>
      <c r="D18" s="160">
        <f>VLOOKUP(MID(B18,1,8)-0,'1.6.2024'!$B$9:$G$160,5,FALSE)</f>
        <v>4725.04</v>
      </c>
      <c r="E18" s="10">
        <f>IF('muut muuttujat'!$G$3=1,C18,KÄYTTÖTAULU!$B$13)</f>
        <v>4770.6400000000003</v>
      </c>
      <c r="F18" s="10">
        <f>IF('muut muuttujat'!$G$3=1,D18,KÄYTTÖTAULU!$B$13)</f>
        <v>4725.04</v>
      </c>
      <c r="G18" s="10"/>
      <c r="H18" s="10"/>
      <c r="I18" s="10"/>
      <c r="J18" s="10"/>
      <c r="O18" s="10"/>
      <c r="P18" s="10"/>
      <c r="Q18" s="10"/>
      <c r="R18" s="17">
        <v>0</v>
      </c>
      <c r="S18" s="1">
        <v>0</v>
      </c>
      <c r="T18" s="1">
        <v>0</v>
      </c>
      <c r="U18" s="1">
        <v>5</v>
      </c>
      <c r="V18" s="1">
        <v>5</v>
      </c>
      <c r="W18" s="40">
        <v>10</v>
      </c>
      <c r="X18" s="1">
        <v>1</v>
      </c>
      <c r="Y18" s="1">
        <f t="shared" si="0"/>
        <v>1</v>
      </c>
      <c r="Z18" s="1">
        <f t="shared" si="1"/>
        <v>1</v>
      </c>
      <c r="AA18" s="1">
        <f t="shared" si="2"/>
        <v>1.05</v>
      </c>
      <c r="AB18" s="1">
        <f t="shared" si="10"/>
        <v>1.1025</v>
      </c>
      <c r="AC18" s="40">
        <f t="shared" si="4"/>
        <v>1.2127500000000002</v>
      </c>
      <c r="AE18" s="1">
        <v>0</v>
      </c>
      <c r="AF18" s="1">
        <v>0</v>
      </c>
      <c r="AG18" s="1">
        <v>0</v>
      </c>
      <c r="AH18" s="1">
        <v>5</v>
      </c>
      <c r="AI18" s="1">
        <v>5</v>
      </c>
      <c r="AJ18" s="1">
        <v>10</v>
      </c>
      <c r="AL18" s="1">
        <f t="shared" si="3"/>
        <v>0</v>
      </c>
    </row>
    <row r="19" spans="1:38" x14ac:dyDescent="0.3">
      <c r="A19" s="1">
        <v>14</v>
      </c>
      <c r="B19" s="9" t="s">
        <v>242</v>
      </c>
      <c r="C19" s="160">
        <f>VLOOKUP(MID(B19,1,8)-0,'1.6.2024'!$B$9:$G$160,3,FALSE)</f>
        <v>4973.57</v>
      </c>
      <c r="D19" s="160">
        <f>VLOOKUP(MID(B19,1,8)-0,'1.6.2024'!$B$9:$G$160,5,FALSE)</f>
        <v>4925.96</v>
      </c>
      <c r="E19" s="10">
        <f>IF('muut muuttujat'!$G$3=1,C19,KÄYTTÖTAULU!$B$13)</f>
        <v>4973.57</v>
      </c>
      <c r="F19" s="10">
        <f>IF('muut muuttujat'!$G$3=1,D19,KÄYTTÖTAULU!$B$13)</f>
        <v>4925.96</v>
      </c>
      <c r="G19" s="10"/>
      <c r="H19" s="10"/>
      <c r="I19" s="10"/>
      <c r="J19" s="10"/>
      <c r="O19" s="10"/>
      <c r="P19" s="10"/>
      <c r="Q19" s="10"/>
      <c r="R19" s="17">
        <v>0</v>
      </c>
      <c r="S19" s="1">
        <v>0</v>
      </c>
      <c r="T19" s="1">
        <v>0</v>
      </c>
      <c r="U19" s="1">
        <v>5</v>
      </c>
      <c r="V19" s="1">
        <v>5</v>
      </c>
      <c r="W19" s="40">
        <v>10</v>
      </c>
      <c r="X19" s="1">
        <v>1</v>
      </c>
      <c r="Y19" s="1">
        <f t="shared" si="0"/>
        <v>1</v>
      </c>
      <c r="Z19" s="1">
        <f t="shared" si="1"/>
        <v>1</v>
      </c>
      <c r="AA19" s="1">
        <f t="shared" si="2"/>
        <v>1.05</v>
      </c>
      <c r="AB19" s="1">
        <f t="shared" si="10"/>
        <v>1.1025</v>
      </c>
      <c r="AC19" s="40">
        <f t="shared" si="4"/>
        <v>1.2127500000000002</v>
      </c>
      <c r="AE19" s="1">
        <v>0</v>
      </c>
      <c r="AF19" s="1">
        <v>0</v>
      </c>
      <c r="AG19" s="1">
        <v>0</v>
      </c>
      <c r="AH19" s="1">
        <v>5</v>
      </c>
      <c r="AI19" s="1">
        <v>5</v>
      </c>
      <c r="AJ19" s="1">
        <v>10</v>
      </c>
      <c r="AL19" s="1">
        <f t="shared" si="3"/>
        <v>0</v>
      </c>
    </row>
    <row r="20" spans="1:38" x14ac:dyDescent="0.3">
      <c r="A20" s="1">
        <v>15</v>
      </c>
      <c r="B20" s="9" t="s">
        <v>243</v>
      </c>
      <c r="C20" s="160" t="s">
        <v>453</v>
      </c>
      <c r="D20" s="160" t="s">
        <v>453</v>
      </c>
      <c r="E20" s="10" t="str">
        <f>IF('muut muuttujat'!$G$3=1,C20,KÄYTTÖTAULU!$B$13)</f>
        <v>% rehtorista</v>
      </c>
      <c r="F20" s="10" t="str">
        <f>IF('muut muuttujat'!$G$3=1,D20,KÄYTTÖTAULU!$B$13)</f>
        <v>% rehtorista</v>
      </c>
      <c r="G20" s="10"/>
      <c r="H20" s="160"/>
      <c r="I20" s="10"/>
      <c r="J20" s="10"/>
      <c r="O20" s="10"/>
      <c r="P20" s="10"/>
      <c r="Q20" s="10"/>
      <c r="R20" s="17">
        <v>0</v>
      </c>
      <c r="S20" s="1">
        <v>0</v>
      </c>
      <c r="T20" s="1">
        <v>0</v>
      </c>
      <c r="U20" s="1">
        <v>5</v>
      </c>
      <c r="V20" s="1">
        <v>5</v>
      </c>
      <c r="W20" s="40">
        <v>10</v>
      </c>
      <c r="X20" s="1">
        <v>1</v>
      </c>
      <c r="Y20" s="1">
        <f t="shared" si="0"/>
        <v>1</v>
      </c>
      <c r="Z20" s="1">
        <f t="shared" si="1"/>
        <v>1</v>
      </c>
      <c r="AA20" s="1">
        <f t="shared" si="2"/>
        <v>1.05</v>
      </c>
      <c r="AB20" s="1">
        <f t="shared" si="10"/>
        <v>1.1025</v>
      </c>
      <c r="AC20" s="40">
        <f t="shared" si="4"/>
        <v>1.2127500000000002</v>
      </c>
      <c r="AE20" s="1">
        <v>0</v>
      </c>
      <c r="AF20" s="1">
        <v>0</v>
      </c>
      <c r="AG20" s="1">
        <v>0</v>
      </c>
      <c r="AH20" s="1">
        <v>5</v>
      </c>
      <c r="AI20" s="1">
        <v>5</v>
      </c>
      <c r="AJ20" s="1">
        <v>10</v>
      </c>
      <c r="AL20" s="1">
        <f t="shared" si="3"/>
        <v>0</v>
      </c>
    </row>
    <row r="21" spans="1:38" x14ac:dyDescent="0.3">
      <c r="A21" s="1">
        <v>16</v>
      </c>
      <c r="B21" s="9" t="s">
        <v>244</v>
      </c>
      <c r="C21" s="160" t="s">
        <v>453</v>
      </c>
      <c r="D21" s="160" t="s">
        <v>453</v>
      </c>
      <c r="E21" s="10" t="str">
        <f>IF('muut muuttujat'!$G$3=1,C21,KÄYTTÖTAULU!$B$13)</f>
        <v>% rehtorista</v>
      </c>
      <c r="F21" s="10" t="str">
        <f>IF('muut muuttujat'!$G$3=1,D21,KÄYTTÖTAULU!$B$13)</f>
        <v>% rehtorista</v>
      </c>
      <c r="G21" s="10"/>
      <c r="H21" s="160"/>
      <c r="I21" s="10"/>
      <c r="J21" s="10"/>
      <c r="O21" s="10"/>
      <c r="P21" s="10"/>
      <c r="Q21" s="10"/>
      <c r="R21" s="17">
        <v>0</v>
      </c>
      <c r="S21" s="1">
        <v>0</v>
      </c>
      <c r="T21" s="1">
        <v>0</v>
      </c>
      <c r="U21" s="1">
        <v>5</v>
      </c>
      <c r="V21" s="1">
        <v>5</v>
      </c>
      <c r="W21" s="40">
        <v>10</v>
      </c>
      <c r="X21" s="1">
        <v>1</v>
      </c>
      <c r="Y21" s="1">
        <f t="shared" si="0"/>
        <v>1</v>
      </c>
      <c r="Z21" s="1">
        <f t="shared" si="1"/>
        <v>1</v>
      </c>
      <c r="AA21" s="1">
        <f t="shared" si="2"/>
        <v>1.05</v>
      </c>
      <c r="AB21" s="1">
        <f t="shared" si="10"/>
        <v>1.1025</v>
      </c>
      <c r="AC21" s="40">
        <f t="shared" si="4"/>
        <v>1.2127500000000002</v>
      </c>
      <c r="AE21" s="1">
        <v>0</v>
      </c>
      <c r="AF21" s="1">
        <v>0</v>
      </c>
      <c r="AG21" s="1">
        <v>0</v>
      </c>
      <c r="AH21" s="1">
        <v>5</v>
      </c>
      <c r="AI21" s="1">
        <v>5</v>
      </c>
      <c r="AJ21" s="1">
        <v>10</v>
      </c>
      <c r="AL21" s="1">
        <f t="shared" si="3"/>
        <v>0</v>
      </c>
    </row>
    <row r="22" spans="1:38" x14ac:dyDescent="0.3">
      <c r="A22" s="1">
        <v>17</v>
      </c>
      <c r="B22" s="9" t="s">
        <v>245</v>
      </c>
      <c r="C22" s="160">
        <f>VLOOKUP(MID(B22,1,8)-0,'1.6.2024'!$B$9:$G$160,3,FALSE)</f>
        <v>4835.6899999999996</v>
      </c>
      <c r="D22" s="160">
        <f>VLOOKUP(MID(B22,1,8)-0,'1.6.2024'!$B$9:$G$160,5,FALSE)</f>
        <v>4789.43</v>
      </c>
      <c r="E22" s="10">
        <f>IF('muut muuttujat'!$G$3=1,C22,KÄYTTÖTAULU!$B$13)</f>
        <v>4835.6899999999996</v>
      </c>
      <c r="F22" s="10">
        <f>IF('muut muuttujat'!$G$3=1,D22,KÄYTTÖTAULU!$B$13)</f>
        <v>4789.43</v>
      </c>
      <c r="G22" s="10"/>
      <c r="H22" s="10"/>
      <c r="I22" s="10"/>
      <c r="J22" s="10"/>
      <c r="O22" s="10"/>
      <c r="P22" s="10"/>
      <c r="Q22" s="10"/>
      <c r="R22" s="17">
        <v>0</v>
      </c>
      <c r="S22" s="1">
        <v>0</v>
      </c>
      <c r="T22" s="1">
        <v>0</v>
      </c>
      <c r="U22" s="1">
        <v>5</v>
      </c>
      <c r="V22" s="1">
        <v>5</v>
      </c>
      <c r="W22" s="40">
        <v>10</v>
      </c>
      <c r="X22" s="1">
        <v>1</v>
      </c>
      <c r="Y22" s="1">
        <f t="shared" si="0"/>
        <v>1</v>
      </c>
      <c r="Z22" s="1">
        <f t="shared" si="1"/>
        <v>1</v>
      </c>
      <c r="AA22" s="1">
        <f t="shared" si="2"/>
        <v>1.05</v>
      </c>
      <c r="AB22" s="1">
        <f t="shared" si="10"/>
        <v>1.1025</v>
      </c>
      <c r="AC22" s="40">
        <f t="shared" si="4"/>
        <v>1.2127500000000002</v>
      </c>
      <c r="AE22" s="1">
        <v>0</v>
      </c>
      <c r="AF22" s="1">
        <v>0</v>
      </c>
      <c r="AG22" s="1">
        <v>0</v>
      </c>
      <c r="AH22" s="1">
        <v>5</v>
      </c>
      <c r="AI22" s="1">
        <v>5</v>
      </c>
      <c r="AJ22" s="1">
        <v>10</v>
      </c>
      <c r="AL22" s="1">
        <f t="shared" si="3"/>
        <v>0</v>
      </c>
    </row>
    <row r="23" spans="1:38" x14ac:dyDescent="0.3">
      <c r="A23" s="1">
        <v>18</v>
      </c>
      <c r="B23" s="9" t="s">
        <v>246</v>
      </c>
      <c r="C23" s="160">
        <f>VLOOKUP(MID(B23,1,8)-0,'1.6.2024'!$B$9:$G$160,3,FALSE)</f>
        <v>4835.6899999999996</v>
      </c>
      <c r="D23" s="160">
        <f>VLOOKUP(MID(B23,1,8)-0,'1.6.2024'!$B$9:$G$160,5,FALSE)</f>
        <v>4789.43</v>
      </c>
      <c r="E23" s="10">
        <f>IF('muut muuttujat'!$G$3=1,C23,KÄYTTÖTAULU!$B$13)</f>
        <v>4835.6899999999996</v>
      </c>
      <c r="F23" s="10">
        <f>IF('muut muuttujat'!$G$3=1,D23,KÄYTTÖTAULU!$B$13)</f>
        <v>4789.43</v>
      </c>
      <c r="G23" s="10"/>
      <c r="H23" s="10"/>
      <c r="I23" s="10"/>
      <c r="J23" s="10"/>
      <c r="O23" s="10"/>
      <c r="P23" s="10"/>
      <c r="Q23" s="10"/>
      <c r="R23" s="17">
        <v>0</v>
      </c>
      <c r="S23" s="1">
        <v>0</v>
      </c>
      <c r="T23" s="1">
        <v>0</v>
      </c>
      <c r="U23" s="1">
        <v>5</v>
      </c>
      <c r="V23" s="1">
        <v>5</v>
      </c>
      <c r="W23" s="40">
        <v>10</v>
      </c>
      <c r="X23" s="1">
        <v>1</v>
      </c>
      <c r="Y23" s="1">
        <f t="shared" si="0"/>
        <v>1</v>
      </c>
      <c r="Z23" s="1">
        <f t="shared" si="1"/>
        <v>1</v>
      </c>
      <c r="AA23" s="1">
        <f t="shared" si="2"/>
        <v>1.05</v>
      </c>
      <c r="AB23" s="1">
        <f t="shared" si="10"/>
        <v>1.1025</v>
      </c>
      <c r="AC23" s="40">
        <f t="shared" si="4"/>
        <v>1.2127500000000002</v>
      </c>
      <c r="AE23" s="1">
        <v>0</v>
      </c>
      <c r="AF23" s="1">
        <v>0</v>
      </c>
      <c r="AG23" s="1">
        <v>0</v>
      </c>
      <c r="AH23" s="1">
        <v>5</v>
      </c>
      <c r="AI23" s="1">
        <v>5</v>
      </c>
      <c r="AJ23" s="1">
        <v>10</v>
      </c>
      <c r="AL23" s="1">
        <f t="shared" si="3"/>
        <v>0</v>
      </c>
    </row>
    <row r="24" spans="1:38" x14ac:dyDescent="0.3">
      <c r="A24" s="1">
        <v>19</v>
      </c>
      <c r="B24" s="9" t="s">
        <v>247</v>
      </c>
      <c r="C24" s="160">
        <f>VLOOKUP(MID(B24,1,8)-0,'1.6.2024'!$B$9:$G$160,3,FALSE)</f>
        <v>3332.69</v>
      </c>
      <c r="D24" s="160">
        <f>VLOOKUP(MID(B24,1,8)-0,'1.6.2024'!$B$9:$G$160,5,FALSE)</f>
        <v>3300.95</v>
      </c>
      <c r="E24" s="10">
        <f>IF('muut muuttujat'!$G$3=1,C24,KÄYTTÖTAULU!$B$13)</f>
        <v>3332.69</v>
      </c>
      <c r="F24" s="10">
        <f>IF('muut muuttujat'!$G$3=1,D24,KÄYTTÖTAULU!$B$13)</f>
        <v>3300.95</v>
      </c>
      <c r="G24" s="10"/>
      <c r="H24" s="10"/>
      <c r="I24" s="10"/>
      <c r="J24" s="10"/>
      <c r="O24" s="10"/>
      <c r="P24" s="10"/>
      <c r="Q24" s="10"/>
      <c r="R24" s="17">
        <v>0</v>
      </c>
      <c r="S24" s="1">
        <v>2</v>
      </c>
      <c r="T24" s="1">
        <v>2</v>
      </c>
      <c r="U24" s="1">
        <v>5</v>
      </c>
      <c r="V24" s="1">
        <v>11</v>
      </c>
      <c r="W24" s="40">
        <v>0</v>
      </c>
      <c r="X24" s="1">
        <v>1</v>
      </c>
      <c r="Y24" s="1">
        <f t="shared" si="0"/>
        <v>1.02</v>
      </c>
      <c r="Z24" s="1">
        <f t="shared" si="1"/>
        <v>1.0404</v>
      </c>
      <c r="AA24" s="1">
        <f t="shared" si="2"/>
        <v>1.0924199999999999</v>
      </c>
      <c r="AB24" s="1">
        <f t="shared" si="10"/>
        <v>1.2125862000000001</v>
      </c>
      <c r="AC24" s="40">
        <f t="shared" si="4"/>
        <v>1.2125862000000001</v>
      </c>
      <c r="AE24" s="1">
        <v>0</v>
      </c>
      <c r="AF24" s="1">
        <v>2</v>
      </c>
      <c r="AG24" s="1">
        <v>3</v>
      </c>
      <c r="AH24" s="1">
        <v>5</v>
      </c>
      <c r="AI24" s="1">
        <v>11</v>
      </c>
      <c r="AJ24" s="1">
        <v>0</v>
      </c>
      <c r="AL24" s="1">
        <f t="shared" si="3"/>
        <v>1</v>
      </c>
    </row>
    <row r="25" spans="1:38" x14ac:dyDescent="0.3">
      <c r="A25" s="1">
        <v>20</v>
      </c>
      <c r="B25" s="9" t="s">
        <v>248</v>
      </c>
      <c r="C25" s="160" t="s">
        <v>454</v>
      </c>
      <c r="D25" s="160" t="s">
        <v>454</v>
      </c>
      <c r="E25" s="10" t="str">
        <f>IF('muut muuttujat'!$G$3=1,C25,KÄYTTÖTAULU!$B$13)</f>
        <v>epäpät %</v>
      </c>
      <c r="F25" s="10" t="str">
        <f>IF('muut muuttujat'!$G$3=1,D25,KÄYTTÖTAULU!$B$13)</f>
        <v>epäpät %</v>
      </c>
      <c r="G25" s="10"/>
      <c r="H25" s="160"/>
      <c r="I25" s="10"/>
      <c r="J25" s="10"/>
      <c r="O25" s="10"/>
      <c r="P25" s="10"/>
      <c r="Q25" s="10"/>
      <c r="R25" s="17">
        <v>0</v>
      </c>
      <c r="S25" s="1">
        <v>2</v>
      </c>
      <c r="T25" s="1">
        <v>2</v>
      </c>
      <c r="U25" s="1">
        <v>5</v>
      </c>
      <c r="V25" s="1">
        <v>11</v>
      </c>
      <c r="W25" s="40">
        <v>0</v>
      </c>
      <c r="X25" s="1">
        <v>1</v>
      </c>
      <c r="Y25" s="1">
        <f t="shared" si="0"/>
        <v>1.02</v>
      </c>
      <c r="Z25" s="1">
        <f t="shared" si="1"/>
        <v>1.0404</v>
      </c>
      <c r="AA25" s="1">
        <f t="shared" si="2"/>
        <v>1.0924199999999999</v>
      </c>
      <c r="AB25" s="1">
        <f t="shared" si="10"/>
        <v>1.2125862000000001</v>
      </c>
      <c r="AC25" s="40">
        <f t="shared" si="4"/>
        <v>1.2125862000000001</v>
      </c>
      <c r="AE25" s="1">
        <v>0</v>
      </c>
      <c r="AF25" s="1">
        <v>2</v>
      </c>
      <c r="AG25" s="1">
        <v>3</v>
      </c>
      <c r="AH25" s="1">
        <v>5</v>
      </c>
      <c r="AI25" s="1">
        <v>11</v>
      </c>
      <c r="AJ25" s="1">
        <v>0</v>
      </c>
      <c r="AL25" s="1">
        <f t="shared" si="3"/>
        <v>1</v>
      </c>
    </row>
    <row r="26" spans="1:38" x14ac:dyDescent="0.3">
      <c r="A26" s="1">
        <v>21</v>
      </c>
      <c r="B26" s="9" t="s">
        <v>476</v>
      </c>
      <c r="C26" s="160">
        <f>VLOOKUP(MID(B26,1,8)-0,'1.6.2024'!$B$9:$G$160,3,FALSE)</f>
        <v>4175.8599999999997</v>
      </c>
      <c r="D26" s="160">
        <f>VLOOKUP(MID(B26,1,8)-0,'1.6.2024'!$B$9:$G$160,5,FALSE)</f>
        <v>4141.1499999999996</v>
      </c>
      <c r="E26" s="10">
        <f>IF('muut muuttujat'!$G$3=1,C26,KÄYTTÖTAULU!$B$13)</f>
        <v>4175.8599999999997</v>
      </c>
      <c r="F26" s="10">
        <f>IF('muut muuttujat'!$G$3=1,D26,KÄYTTÖTAULU!$B$13)</f>
        <v>4141.1499999999996</v>
      </c>
      <c r="G26" s="10"/>
      <c r="H26" s="10"/>
      <c r="I26" s="10"/>
      <c r="J26" s="10"/>
      <c r="O26" s="10"/>
      <c r="P26" s="10"/>
      <c r="Q26" s="10"/>
      <c r="R26" s="17">
        <v>0</v>
      </c>
      <c r="S26" s="1">
        <v>2</v>
      </c>
      <c r="T26" s="1">
        <v>3</v>
      </c>
      <c r="U26" s="1">
        <v>5</v>
      </c>
      <c r="V26" s="1">
        <v>11</v>
      </c>
      <c r="W26" s="40">
        <v>0</v>
      </c>
      <c r="X26" s="1">
        <v>1</v>
      </c>
      <c r="Y26" s="1">
        <f>1+S26/100</f>
        <v>1.02</v>
      </c>
      <c r="Z26" s="1">
        <f t="shared" ref="Z26:AC27" si="11">(1+T26/100)*Y26</f>
        <v>1.0506</v>
      </c>
      <c r="AA26" s="1">
        <f t="shared" si="11"/>
        <v>1.1031299999999999</v>
      </c>
      <c r="AB26" s="1">
        <f t="shared" si="11"/>
        <v>1.2244743</v>
      </c>
      <c r="AC26" s="40">
        <f t="shared" si="11"/>
        <v>1.2244743</v>
      </c>
      <c r="AE26" s="1">
        <v>0</v>
      </c>
      <c r="AF26" s="1">
        <v>2</v>
      </c>
      <c r="AG26" s="1">
        <v>3</v>
      </c>
      <c r="AH26" s="1">
        <v>5</v>
      </c>
      <c r="AI26" s="1">
        <v>11</v>
      </c>
      <c r="AJ26" s="1">
        <v>0</v>
      </c>
      <c r="AL26" s="1">
        <f t="shared" si="3"/>
        <v>0</v>
      </c>
    </row>
    <row r="27" spans="1:38" x14ac:dyDescent="0.3">
      <c r="A27" s="1">
        <v>22</v>
      </c>
      <c r="B27" s="9" t="s">
        <v>477</v>
      </c>
      <c r="C27" s="160" t="s">
        <v>454</v>
      </c>
      <c r="D27" s="160" t="s">
        <v>454</v>
      </c>
      <c r="E27" s="10" t="str">
        <f>IF('muut muuttujat'!$G$3=1,C27,KÄYTTÖTAULU!$B$13)</f>
        <v>epäpät %</v>
      </c>
      <c r="F27" s="10" t="str">
        <f>IF('muut muuttujat'!$G$3=1,D27,KÄYTTÖTAULU!$B$13)</f>
        <v>epäpät %</v>
      </c>
      <c r="G27" s="10"/>
      <c r="H27" s="10"/>
      <c r="I27" s="10"/>
      <c r="J27" s="10"/>
      <c r="O27" s="10"/>
      <c r="P27" s="10"/>
      <c r="Q27" s="10"/>
      <c r="R27" s="17">
        <v>0</v>
      </c>
      <c r="S27" s="1">
        <v>2</v>
      </c>
      <c r="T27" s="1">
        <v>3</v>
      </c>
      <c r="U27" s="1">
        <v>5</v>
      </c>
      <c r="V27" s="1">
        <v>11</v>
      </c>
      <c r="W27" s="40">
        <v>0</v>
      </c>
      <c r="X27" s="1">
        <v>1</v>
      </c>
      <c r="Y27" s="1">
        <f>1+S27/100</f>
        <v>1.02</v>
      </c>
      <c r="Z27" s="1">
        <f t="shared" si="11"/>
        <v>1.0506</v>
      </c>
      <c r="AA27" s="1">
        <f t="shared" si="11"/>
        <v>1.1031299999999999</v>
      </c>
      <c r="AB27" s="1">
        <f t="shared" si="11"/>
        <v>1.2244743</v>
      </c>
      <c r="AC27" s="40">
        <f t="shared" si="11"/>
        <v>1.2244743</v>
      </c>
      <c r="AE27" s="1">
        <v>0</v>
      </c>
      <c r="AF27" s="1">
        <v>2</v>
      </c>
      <c r="AG27" s="1">
        <v>3</v>
      </c>
      <c r="AH27" s="1">
        <v>5</v>
      </c>
      <c r="AI27" s="1">
        <v>11</v>
      </c>
      <c r="AJ27" s="1">
        <v>0</v>
      </c>
      <c r="AL27" s="1">
        <f t="shared" si="3"/>
        <v>0</v>
      </c>
    </row>
    <row r="28" spans="1:38" x14ac:dyDescent="0.3">
      <c r="A28" s="1">
        <v>23</v>
      </c>
      <c r="B28" s="9" t="s">
        <v>478</v>
      </c>
      <c r="C28" s="160">
        <f>VLOOKUP(MID(B28,1,8)-0,'1.6.2024'!$B$9:$G$160,3,FALSE)</f>
        <v>4175.8599999999997</v>
      </c>
      <c r="D28" s="160">
        <f>VLOOKUP(MID(B28,1,8)-0,'1.6.2024'!$B$9:$G$160,5,FALSE)</f>
        <v>4141.1499999999996</v>
      </c>
      <c r="E28" s="10">
        <f>IF('muut muuttujat'!$G$3=1,C28,KÄYTTÖTAULU!$B$13)</f>
        <v>4175.8599999999997</v>
      </c>
      <c r="F28" s="10">
        <f>IF('muut muuttujat'!$G$3=1,D28,KÄYTTÖTAULU!$B$13)</f>
        <v>4141.1499999999996</v>
      </c>
      <c r="G28" s="10"/>
      <c r="H28" s="10"/>
      <c r="I28" s="10"/>
      <c r="J28" s="10"/>
      <c r="O28" s="10"/>
      <c r="P28" s="10"/>
      <c r="Q28" s="10"/>
      <c r="R28" s="17">
        <v>0</v>
      </c>
      <c r="S28" s="1">
        <v>2</v>
      </c>
      <c r="T28" s="1">
        <v>3</v>
      </c>
      <c r="U28" s="1">
        <v>5</v>
      </c>
      <c r="V28" s="1">
        <v>11</v>
      </c>
      <c r="W28" s="40">
        <v>0</v>
      </c>
      <c r="X28" s="1">
        <v>1</v>
      </c>
      <c r="Y28" s="1">
        <f t="shared" ref="Y28:Y33" si="12">1+S28/100</f>
        <v>1.02</v>
      </c>
      <c r="Z28" s="1">
        <f t="shared" ref="Z28:Z33" si="13">(1+T28/100)*Y28</f>
        <v>1.0506</v>
      </c>
      <c r="AA28" s="1">
        <f t="shared" ref="AA28:AA33" si="14">(1+U28/100)*Z28</f>
        <v>1.1031299999999999</v>
      </c>
      <c r="AB28" s="1">
        <f t="shared" ref="AB28:AB33" si="15">(1+V28/100)*AA28</f>
        <v>1.2244743</v>
      </c>
      <c r="AC28" s="40">
        <f t="shared" ref="AC28:AC33" si="16">(1+W28/100)*AB28</f>
        <v>1.2244743</v>
      </c>
    </row>
    <row r="29" spans="1:38" x14ac:dyDescent="0.3">
      <c r="A29" s="1">
        <v>24</v>
      </c>
      <c r="B29" s="9" t="s">
        <v>479</v>
      </c>
      <c r="C29" s="160" t="s">
        <v>454</v>
      </c>
      <c r="D29" s="160" t="s">
        <v>454</v>
      </c>
      <c r="E29" s="10" t="str">
        <f>IF('muut muuttujat'!$G$3=1,C29,KÄYTTÖTAULU!$B$13)</f>
        <v>epäpät %</v>
      </c>
      <c r="F29" s="10" t="str">
        <f>IF('muut muuttujat'!$G$3=1,D29,KÄYTTÖTAULU!$B$13)</f>
        <v>epäpät %</v>
      </c>
      <c r="G29" s="10"/>
      <c r="H29" s="10"/>
      <c r="I29" s="10"/>
      <c r="J29" s="10"/>
      <c r="O29" s="10"/>
      <c r="P29" s="10"/>
      <c r="Q29" s="10"/>
      <c r="R29" s="17">
        <v>0</v>
      </c>
      <c r="S29" s="1">
        <v>2</v>
      </c>
      <c r="T29" s="1">
        <v>3</v>
      </c>
      <c r="U29" s="1">
        <v>5</v>
      </c>
      <c r="V29" s="1">
        <v>11</v>
      </c>
      <c r="W29" s="40">
        <v>0</v>
      </c>
      <c r="X29" s="1">
        <v>1</v>
      </c>
      <c r="Y29" s="1">
        <f t="shared" si="12"/>
        <v>1.02</v>
      </c>
      <c r="Z29" s="1">
        <f t="shared" si="13"/>
        <v>1.0506</v>
      </c>
      <c r="AA29" s="1">
        <f t="shared" si="14"/>
        <v>1.1031299999999999</v>
      </c>
      <c r="AB29" s="1">
        <f t="shared" si="15"/>
        <v>1.2244743</v>
      </c>
      <c r="AC29" s="40">
        <f t="shared" si="16"/>
        <v>1.2244743</v>
      </c>
    </row>
    <row r="30" spans="1:38" x14ac:dyDescent="0.3">
      <c r="A30" s="1">
        <v>25</v>
      </c>
      <c r="B30" s="9" t="s">
        <v>480</v>
      </c>
      <c r="C30" s="160">
        <f>VLOOKUP(MID(B30,1,8)-0,'1.6.2024'!$B$9:$G$160,3,FALSE)</f>
        <v>4175.8599999999997</v>
      </c>
      <c r="D30" s="160">
        <f>VLOOKUP(MID(B30,1,8)-0,'1.6.2024'!$B$9:$G$160,5,FALSE)</f>
        <v>4141.1499999999996</v>
      </c>
      <c r="E30" s="10">
        <f>IF('muut muuttujat'!$G$3=1,C30,KÄYTTÖTAULU!$B$13)</f>
        <v>4175.8599999999997</v>
      </c>
      <c r="F30" s="10">
        <f>IF('muut muuttujat'!$G$3=1,D30,KÄYTTÖTAULU!$B$13)</f>
        <v>4141.1499999999996</v>
      </c>
      <c r="G30" s="10"/>
      <c r="H30" s="10"/>
      <c r="I30" s="10"/>
      <c r="J30" s="10"/>
      <c r="O30" s="10"/>
      <c r="P30" s="10"/>
      <c r="Q30" s="10"/>
      <c r="R30" s="17">
        <v>0</v>
      </c>
      <c r="S30" s="1">
        <v>2</v>
      </c>
      <c r="T30" s="1">
        <v>3</v>
      </c>
      <c r="U30" s="1">
        <v>5</v>
      </c>
      <c r="V30" s="1">
        <v>11</v>
      </c>
      <c r="W30" s="40">
        <v>0</v>
      </c>
      <c r="X30" s="1">
        <v>1</v>
      </c>
      <c r="Y30" s="1">
        <f t="shared" si="12"/>
        <v>1.02</v>
      </c>
      <c r="Z30" s="1">
        <f t="shared" si="13"/>
        <v>1.0506</v>
      </c>
      <c r="AA30" s="1">
        <f t="shared" si="14"/>
        <v>1.1031299999999999</v>
      </c>
      <c r="AB30" s="1">
        <f t="shared" si="15"/>
        <v>1.2244743</v>
      </c>
      <c r="AC30" s="40">
        <f t="shared" si="16"/>
        <v>1.2244743</v>
      </c>
      <c r="AE30" s="1">
        <v>0</v>
      </c>
      <c r="AF30" s="1">
        <v>2</v>
      </c>
      <c r="AG30" s="1">
        <v>3</v>
      </c>
      <c r="AH30" s="1">
        <v>5</v>
      </c>
      <c r="AI30" s="1">
        <v>11</v>
      </c>
      <c r="AJ30" s="1">
        <v>0</v>
      </c>
      <c r="AL30" s="1">
        <f t="shared" si="3"/>
        <v>0</v>
      </c>
    </row>
    <row r="31" spans="1:38" x14ac:dyDescent="0.3">
      <c r="A31" s="1">
        <v>26</v>
      </c>
      <c r="B31" s="9" t="s">
        <v>481</v>
      </c>
      <c r="C31" s="160" t="s">
        <v>454</v>
      </c>
      <c r="D31" s="160" t="s">
        <v>454</v>
      </c>
      <c r="E31" s="10" t="str">
        <f>IF('muut muuttujat'!$G$3=1,C31,KÄYTTÖTAULU!$B$13)</f>
        <v>epäpät %</v>
      </c>
      <c r="F31" s="10" t="str">
        <f>IF('muut muuttujat'!$G$3=1,D31,KÄYTTÖTAULU!$B$13)</f>
        <v>epäpät %</v>
      </c>
      <c r="G31" s="10"/>
      <c r="H31" s="10"/>
      <c r="I31" s="10"/>
      <c r="J31" s="10"/>
      <c r="O31" s="10"/>
      <c r="P31" s="10"/>
      <c r="Q31" s="10"/>
      <c r="R31" s="17">
        <v>0</v>
      </c>
      <c r="S31" s="1">
        <v>2</v>
      </c>
      <c r="T31" s="1">
        <v>3</v>
      </c>
      <c r="U31" s="1">
        <v>5</v>
      </c>
      <c r="V31" s="1">
        <v>11</v>
      </c>
      <c r="W31" s="40">
        <v>0</v>
      </c>
      <c r="X31" s="1">
        <v>1</v>
      </c>
      <c r="Y31" s="1">
        <f t="shared" si="12"/>
        <v>1.02</v>
      </c>
      <c r="Z31" s="1">
        <f t="shared" si="13"/>
        <v>1.0506</v>
      </c>
      <c r="AA31" s="1">
        <f t="shared" si="14"/>
        <v>1.1031299999999999</v>
      </c>
      <c r="AB31" s="1">
        <f t="shared" si="15"/>
        <v>1.2244743</v>
      </c>
      <c r="AC31" s="40">
        <f t="shared" si="16"/>
        <v>1.2244743</v>
      </c>
      <c r="AE31" s="1">
        <v>0</v>
      </c>
      <c r="AF31" s="1">
        <v>2</v>
      </c>
      <c r="AG31" s="1">
        <v>3</v>
      </c>
      <c r="AH31" s="1">
        <v>5</v>
      </c>
      <c r="AI31" s="1">
        <v>11</v>
      </c>
      <c r="AJ31" s="1">
        <v>0</v>
      </c>
      <c r="AL31" s="1">
        <f t="shared" si="3"/>
        <v>0</v>
      </c>
    </row>
    <row r="32" spans="1:38" x14ac:dyDescent="0.3">
      <c r="A32" s="1">
        <v>27</v>
      </c>
      <c r="B32" s="9" t="s">
        <v>482</v>
      </c>
      <c r="C32" s="160">
        <f>VLOOKUP(MID(B32,1,8)-0,'1.6.2024'!$B$9:$G$160,3,FALSE)</f>
        <v>4175.8599999999997</v>
      </c>
      <c r="D32" s="160">
        <f>VLOOKUP(MID(B32,1,8)-0,'1.6.2024'!$B$9:$G$160,5,FALSE)</f>
        <v>4141.1499999999996</v>
      </c>
      <c r="E32" s="10">
        <f>IF('muut muuttujat'!$G$3=1,C32,KÄYTTÖTAULU!$B$13)</f>
        <v>4175.8599999999997</v>
      </c>
      <c r="F32" s="10">
        <f>IF('muut muuttujat'!$G$3=1,D32,KÄYTTÖTAULU!$B$13)</f>
        <v>4141.1499999999996</v>
      </c>
      <c r="G32" s="10"/>
      <c r="H32" s="10"/>
      <c r="I32" s="10"/>
      <c r="J32" s="10"/>
      <c r="O32" s="10"/>
      <c r="P32" s="10"/>
      <c r="Q32" s="10"/>
      <c r="R32" s="17">
        <v>0</v>
      </c>
      <c r="S32" s="1">
        <v>2</v>
      </c>
      <c r="T32" s="1">
        <v>3</v>
      </c>
      <c r="U32" s="1">
        <v>5</v>
      </c>
      <c r="V32" s="1">
        <v>11</v>
      </c>
      <c r="W32" s="40">
        <v>0</v>
      </c>
      <c r="X32" s="1">
        <v>1</v>
      </c>
      <c r="Y32" s="1">
        <f t="shared" si="12"/>
        <v>1.02</v>
      </c>
      <c r="Z32" s="1">
        <f t="shared" si="13"/>
        <v>1.0506</v>
      </c>
      <c r="AA32" s="1">
        <f t="shared" si="14"/>
        <v>1.1031299999999999</v>
      </c>
      <c r="AB32" s="1">
        <f t="shared" si="15"/>
        <v>1.2244743</v>
      </c>
      <c r="AC32" s="40">
        <f t="shared" si="16"/>
        <v>1.2244743</v>
      </c>
    </row>
    <row r="33" spans="1:38" x14ac:dyDescent="0.3">
      <c r="A33" s="1">
        <v>28</v>
      </c>
      <c r="B33" s="9" t="s">
        <v>483</v>
      </c>
      <c r="C33" s="160" t="s">
        <v>454</v>
      </c>
      <c r="D33" s="160" t="s">
        <v>454</v>
      </c>
      <c r="E33" s="10" t="str">
        <f>IF('muut muuttujat'!$G$3=1,C33,KÄYTTÖTAULU!$B$13)</f>
        <v>epäpät %</v>
      </c>
      <c r="F33" s="10" t="str">
        <f>IF('muut muuttujat'!$G$3=1,D33,KÄYTTÖTAULU!$B$13)</f>
        <v>epäpät %</v>
      </c>
      <c r="G33" s="10"/>
      <c r="H33" s="10"/>
      <c r="I33" s="10"/>
      <c r="J33" s="10"/>
      <c r="O33" s="10"/>
      <c r="P33" s="10"/>
      <c r="Q33" s="10"/>
      <c r="R33" s="17">
        <v>0</v>
      </c>
      <c r="S33" s="1">
        <v>2</v>
      </c>
      <c r="T33" s="1">
        <v>3</v>
      </c>
      <c r="U33" s="1">
        <v>5</v>
      </c>
      <c r="V33" s="1">
        <v>11</v>
      </c>
      <c r="W33" s="40">
        <v>0</v>
      </c>
      <c r="X33" s="1">
        <v>1</v>
      </c>
      <c r="Y33" s="1">
        <f t="shared" si="12"/>
        <v>1.02</v>
      </c>
      <c r="Z33" s="1">
        <f t="shared" si="13"/>
        <v>1.0506</v>
      </c>
      <c r="AA33" s="1">
        <f t="shared" si="14"/>
        <v>1.1031299999999999</v>
      </c>
      <c r="AB33" s="1">
        <f t="shared" si="15"/>
        <v>1.2244743</v>
      </c>
      <c r="AC33" s="40">
        <f t="shared" si="16"/>
        <v>1.2244743</v>
      </c>
    </row>
    <row r="34" spans="1:38" x14ac:dyDescent="0.3">
      <c r="A34" s="1">
        <v>29</v>
      </c>
      <c r="B34" s="9" t="s">
        <v>249</v>
      </c>
      <c r="C34" s="160">
        <f>VLOOKUP(MID(B34,1,8)-0,'1.6.2024'!$B$9:$G$160,3,FALSE)</f>
        <v>3172.35</v>
      </c>
      <c r="D34" s="160">
        <f>VLOOKUP(MID(B34,1,8)-0,'1.6.2024'!$B$9:$G$160,5,FALSE)</f>
        <v>3142.35</v>
      </c>
      <c r="E34" s="10">
        <f>IF('muut muuttujat'!$G$3=1,C34,KÄYTTÖTAULU!$B$13)</f>
        <v>3172.35</v>
      </c>
      <c r="F34" s="10">
        <f>IF('muut muuttujat'!$G$3=1,D34,KÄYTTÖTAULU!$B$13)</f>
        <v>3142.35</v>
      </c>
      <c r="G34" s="10">
        <f>KÄYTTÖTAULU!$F$6</f>
        <v>0</v>
      </c>
      <c r="H34" s="10">
        <f>KÄYTTÖTAULU!$F$6</f>
        <v>0</v>
      </c>
      <c r="I34" s="10">
        <f>G34*0.84</f>
        <v>0</v>
      </c>
      <c r="J34" s="10">
        <f>H34*0.84</f>
        <v>0</v>
      </c>
      <c r="K34" s="1" t="e">
        <f>ROUND(I34/KÄYTTÖTAULU!$I$8,2)</f>
        <v>#DIV/0!</v>
      </c>
      <c r="L34" s="1" t="e">
        <f>ROUND(J34/KÄYTTÖTAULU!$I$8,2)</f>
        <v>#DIV/0!</v>
      </c>
      <c r="M34" s="1" t="e">
        <f t="shared" ref="M34:M80" si="17">ROUND(K34*(12/38),2)</f>
        <v>#DIV/0!</v>
      </c>
      <c r="N34" s="1" t="e">
        <f t="shared" ref="N34:N80" si="18">ROUND(L34*(12/38),2)</f>
        <v>#DIV/0!</v>
      </c>
      <c r="O34" s="10"/>
      <c r="P34" s="10"/>
      <c r="Q34" s="10"/>
      <c r="R34" s="17">
        <v>0</v>
      </c>
      <c r="S34" s="1">
        <v>4</v>
      </c>
      <c r="T34" s="1">
        <v>3</v>
      </c>
      <c r="U34" s="1">
        <v>6</v>
      </c>
      <c r="V34" s="1">
        <v>6</v>
      </c>
      <c r="W34" s="40">
        <v>6</v>
      </c>
      <c r="X34" s="1">
        <v>1</v>
      </c>
      <c r="Y34" s="1">
        <f t="shared" si="0"/>
        <v>1.04</v>
      </c>
      <c r="Z34" s="1">
        <f t="shared" si="1"/>
        <v>1.0712000000000002</v>
      </c>
      <c r="AA34" s="1">
        <f t="shared" si="2"/>
        <v>1.1354720000000003</v>
      </c>
      <c r="AB34" s="1">
        <f t="shared" ref="AB34:AB92" si="19">(1+V34/100)*AA34</f>
        <v>1.2036003200000003</v>
      </c>
      <c r="AC34" s="40">
        <f t="shared" si="4"/>
        <v>1.2758163392000004</v>
      </c>
      <c r="AE34" s="1">
        <v>0</v>
      </c>
      <c r="AF34" s="1">
        <v>4</v>
      </c>
      <c r="AG34" s="1">
        <v>4</v>
      </c>
      <c r="AH34" s="1">
        <v>6</v>
      </c>
      <c r="AI34" s="1">
        <v>6</v>
      </c>
      <c r="AJ34" s="1">
        <v>6</v>
      </c>
      <c r="AL34" s="1">
        <f t="shared" si="3"/>
        <v>1</v>
      </c>
    </row>
    <row r="35" spans="1:38" x14ac:dyDescent="0.3">
      <c r="A35" s="1">
        <v>30</v>
      </c>
      <c r="B35" s="9" t="s">
        <v>250</v>
      </c>
      <c r="C35" s="160">
        <f>VLOOKUP(MID(B35,1,8)-0,'1.6.2024'!$B$9:$G$160,3,FALSE)</f>
        <v>2957.5</v>
      </c>
      <c r="D35" s="160">
        <f>VLOOKUP(MID(B35,1,8)-0,'1.6.2024'!$B$9:$G$160,5,FALSE)</f>
        <v>2929.54</v>
      </c>
      <c r="E35" s="10">
        <f>IF('muut muuttujat'!$G$3=1,C35,KÄYTTÖTAULU!$B$13)</f>
        <v>2957.5</v>
      </c>
      <c r="F35" s="10">
        <f>IF('muut muuttujat'!$G$3=1,D35,KÄYTTÖTAULU!$B$13)</f>
        <v>2929.54</v>
      </c>
      <c r="G35" s="10">
        <f>KÄYTTÖTAULU!$F$6</f>
        <v>0</v>
      </c>
      <c r="H35" s="10">
        <f>KÄYTTÖTAULU!$F$6</f>
        <v>0</v>
      </c>
      <c r="I35" s="10">
        <f t="shared" ref="I35:I88" si="20">G35*0.84</f>
        <v>0</v>
      </c>
      <c r="J35" s="10">
        <f t="shared" ref="J35:J89" si="21">H35*0.84</f>
        <v>0</v>
      </c>
      <c r="K35" s="1" t="e">
        <f>ROUND(I35/KÄYTTÖTAULU!$I$8,2)</f>
        <v>#DIV/0!</v>
      </c>
      <c r="L35" s="1" t="e">
        <f>ROUND(J35/KÄYTTÖTAULU!$I$8,2)</f>
        <v>#DIV/0!</v>
      </c>
      <c r="M35" s="1" t="e">
        <f t="shared" si="17"/>
        <v>#DIV/0!</v>
      </c>
      <c r="N35" s="1" t="e">
        <f t="shared" si="18"/>
        <v>#DIV/0!</v>
      </c>
      <c r="O35" s="10"/>
      <c r="P35" s="10"/>
      <c r="Q35" s="10"/>
      <c r="R35" s="17">
        <v>0</v>
      </c>
      <c r="S35" s="1">
        <v>4</v>
      </c>
      <c r="T35" s="1">
        <v>3</v>
      </c>
      <c r="U35" s="1">
        <v>6</v>
      </c>
      <c r="V35" s="1">
        <v>6</v>
      </c>
      <c r="W35" s="40">
        <v>6</v>
      </c>
      <c r="X35" s="1">
        <v>1</v>
      </c>
      <c r="Y35" s="1">
        <f t="shared" si="0"/>
        <v>1.04</v>
      </c>
      <c r="Z35" s="1">
        <f t="shared" si="1"/>
        <v>1.0712000000000002</v>
      </c>
      <c r="AA35" s="1">
        <f t="shared" si="2"/>
        <v>1.1354720000000003</v>
      </c>
      <c r="AB35" s="1">
        <f t="shared" si="19"/>
        <v>1.2036003200000003</v>
      </c>
      <c r="AC35" s="40">
        <f t="shared" si="4"/>
        <v>1.2758163392000004</v>
      </c>
      <c r="AE35" s="1">
        <v>0</v>
      </c>
      <c r="AF35" s="1">
        <v>4</v>
      </c>
      <c r="AG35" s="1">
        <v>4</v>
      </c>
      <c r="AH35" s="1">
        <v>6</v>
      </c>
      <c r="AI35" s="1">
        <v>6</v>
      </c>
      <c r="AJ35" s="1">
        <v>6</v>
      </c>
      <c r="AL35" s="1">
        <f t="shared" si="3"/>
        <v>1</v>
      </c>
    </row>
    <row r="36" spans="1:38" x14ac:dyDescent="0.3">
      <c r="A36" s="1">
        <v>31</v>
      </c>
      <c r="B36" s="9" t="s">
        <v>251</v>
      </c>
      <c r="C36" s="160">
        <f>VLOOKUP(MID(B36,1,8)-0,'1.6.2024'!$B$9:$G$160,3,FALSE)</f>
        <v>2592.35</v>
      </c>
      <c r="D36" s="160">
        <f>VLOOKUP(MID(B36,1,8)-0,'1.6.2024'!$B$9:$G$160,5,FALSE)</f>
        <v>2567.83</v>
      </c>
      <c r="E36" s="10">
        <f>IF('muut muuttujat'!$G$3=1,C36,KÄYTTÖTAULU!$B$13)</f>
        <v>2592.35</v>
      </c>
      <c r="F36" s="10">
        <f>IF('muut muuttujat'!$G$3=1,D36,KÄYTTÖTAULU!$B$13)</f>
        <v>2567.83</v>
      </c>
      <c r="G36" s="10">
        <f>KÄYTTÖTAULU!$F$6</f>
        <v>0</v>
      </c>
      <c r="H36" s="10">
        <f>KÄYTTÖTAULU!$F$6</f>
        <v>0</v>
      </c>
      <c r="I36" s="10">
        <f t="shared" si="20"/>
        <v>0</v>
      </c>
      <c r="J36" s="10">
        <f t="shared" si="21"/>
        <v>0</v>
      </c>
      <c r="K36" s="1" t="e">
        <f>ROUND(I36/KÄYTTÖTAULU!$I$8,2)</f>
        <v>#DIV/0!</v>
      </c>
      <c r="L36" s="1" t="e">
        <f>ROUND(J36/KÄYTTÖTAULU!$I$8,2)</f>
        <v>#DIV/0!</v>
      </c>
      <c r="M36" s="1" t="e">
        <f t="shared" si="17"/>
        <v>#DIV/0!</v>
      </c>
      <c r="N36" s="1" t="e">
        <f t="shared" si="18"/>
        <v>#DIV/0!</v>
      </c>
      <c r="O36" s="10"/>
      <c r="P36" s="10"/>
      <c r="Q36" s="10"/>
      <c r="R36" s="17">
        <v>0</v>
      </c>
      <c r="S36" s="1">
        <v>4</v>
      </c>
      <c r="T36" s="1">
        <v>3</v>
      </c>
      <c r="U36" s="1">
        <v>6</v>
      </c>
      <c r="V36" s="1">
        <v>6</v>
      </c>
      <c r="W36" s="40">
        <v>6</v>
      </c>
      <c r="X36" s="1">
        <v>1</v>
      </c>
      <c r="Y36" s="1">
        <f t="shared" si="0"/>
        <v>1.04</v>
      </c>
      <c r="Z36" s="1">
        <f t="shared" si="1"/>
        <v>1.0712000000000002</v>
      </c>
      <c r="AA36" s="1">
        <f t="shared" si="2"/>
        <v>1.1354720000000003</v>
      </c>
      <c r="AB36" s="1">
        <f t="shared" si="19"/>
        <v>1.2036003200000003</v>
      </c>
      <c r="AC36" s="40">
        <f t="shared" si="4"/>
        <v>1.2758163392000004</v>
      </c>
      <c r="AE36" s="1">
        <v>0</v>
      </c>
      <c r="AF36" s="1">
        <v>4</v>
      </c>
      <c r="AG36" s="1">
        <v>4</v>
      </c>
      <c r="AH36" s="1">
        <v>6</v>
      </c>
      <c r="AI36" s="1">
        <v>6</v>
      </c>
      <c r="AJ36" s="1">
        <v>6</v>
      </c>
      <c r="AL36" s="1">
        <f t="shared" si="3"/>
        <v>1</v>
      </c>
    </row>
    <row r="37" spans="1:38" x14ac:dyDescent="0.3">
      <c r="A37" s="1">
        <v>32</v>
      </c>
      <c r="B37" s="9" t="s">
        <v>252</v>
      </c>
      <c r="C37" s="160">
        <f>VLOOKUP(MID(B37,1,8)-0,'1.6.2024'!$B$9:$G$160,3,FALSE)</f>
        <v>2481.37</v>
      </c>
      <c r="D37" s="160">
        <f>VLOOKUP(MID(B37,1,8)-0,'1.6.2024'!$B$9:$G$160,5,FALSE)</f>
        <v>2457.9</v>
      </c>
      <c r="E37" s="10">
        <f>IF('muut muuttujat'!$G$3=1,C37,KÄYTTÖTAULU!$B$13)</f>
        <v>2481.37</v>
      </c>
      <c r="F37" s="10">
        <f>IF('muut muuttujat'!$G$3=1,D37,KÄYTTÖTAULU!$B$13)</f>
        <v>2457.9</v>
      </c>
      <c r="G37" s="10">
        <f>KÄYTTÖTAULU!$F$6</f>
        <v>0</v>
      </c>
      <c r="H37" s="10">
        <f>KÄYTTÖTAULU!$F$6</f>
        <v>0</v>
      </c>
      <c r="I37" s="10">
        <f t="shared" si="20"/>
        <v>0</v>
      </c>
      <c r="J37" s="10">
        <f t="shared" si="21"/>
        <v>0</v>
      </c>
      <c r="K37" s="1" t="e">
        <f>ROUND(I37/KÄYTTÖTAULU!$I$8,2)</f>
        <v>#DIV/0!</v>
      </c>
      <c r="L37" s="1" t="e">
        <f>ROUND(J37/KÄYTTÖTAULU!$I$8,2)</f>
        <v>#DIV/0!</v>
      </c>
      <c r="M37" s="1" t="e">
        <f t="shared" si="17"/>
        <v>#DIV/0!</v>
      </c>
      <c r="N37" s="1" t="e">
        <f t="shared" si="18"/>
        <v>#DIV/0!</v>
      </c>
      <c r="O37" s="10"/>
      <c r="P37" s="10"/>
      <c r="Q37" s="10"/>
      <c r="R37" s="17">
        <v>0</v>
      </c>
      <c r="S37" s="1">
        <v>4</v>
      </c>
      <c r="T37" s="1">
        <v>3</v>
      </c>
      <c r="U37" s="1">
        <v>6</v>
      </c>
      <c r="V37" s="1">
        <v>6</v>
      </c>
      <c r="W37" s="40">
        <v>6</v>
      </c>
      <c r="X37" s="1">
        <v>1</v>
      </c>
      <c r="Y37" s="1">
        <f t="shared" si="0"/>
        <v>1.04</v>
      </c>
      <c r="Z37" s="1">
        <f t="shared" si="1"/>
        <v>1.0712000000000002</v>
      </c>
      <c r="AA37" s="1">
        <f t="shared" si="2"/>
        <v>1.1354720000000003</v>
      </c>
      <c r="AB37" s="1">
        <f t="shared" si="19"/>
        <v>1.2036003200000003</v>
      </c>
      <c r="AC37" s="40">
        <f t="shared" si="4"/>
        <v>1.2758163392000004</v>
      </c>
      <c r="AE37" s="1">
        <v>0</v>
      </c>
      <c r="AF37" s="1">
        <v>4</v>
      </c>
      <c r="AG37" s="1">
        <v>4</v>
      </c>
      <c r="AH37" s="1">
        <v>6</v>
      </c>
      <c r="AI37" s="1">
        <v>6</v>
      </c>
      <c r="AJ37" s="1">
        <v>6</v>
      </c>
      <c r="AL37" s="1">
        <f t="shared" si="3"/>
        <v>1</v>
      </c>
    </row>
    <row r="38" spans="1:38" x14ac:dyDescent="0.3">
      <c r="A38" s="1">
        <v>33</v>
      </c>
      <c r="B38" s="9" t="s">
        <v>253</v>
      </c>
      <c r="C38" s="160">
        <f>VLOOKUP(MID(B38,1,8)-0,'1.6.2024'!$B$9:$G$160,3,FALSE)</f>
        <v>2347.37</v>
      </c>
      <c r="D38" s="160">
        <f>VLOOKUP(MID(B38,1,8)-0,'1.6.2024'!$B$9:$G$160,5,FALSE)</f>
        <v>2325.64</v>
      </c>
      <c r="E38" s="10">
        <f>IF('muut muuttujat'!$G$3=1,C38,KÄYTTÖTAULU!$B$13)</f>
        <v>2347.37</v>
      </c>
      <c r="F38" s="10">
        <f>IF('muut muuttujat'!$G$3=1,D38,KÄYTTÖTAULU!$B$13)</f>
        <v>2325.64</v>
      </c>
      <c r="G38" s="10">
        <f>KÄYTTÖTAULU!$F$6</f>
        <v>0</v>
      </c>
      <c r="H38" s="10">
        <f>KÄYTTÖTAULU!$F$6</f>
        <v>0</v>
      </c>
      <c r="I38" s="10">
        <f t="shared" si="20"/>
        <v>0</v>
      </c>
      <c r="J38" s="10">
        <f t="shared" si="21"/>
        <v>0</v>
      </c>
      <c r="K38" s="1" t="e">
        <f>ROUND(I38/KÄYTTÖTAULU!$I$8,2)</f>
        <v>#DIV/0!</v>
      </c>
      <c r="L38" s="1" t="e">
        <f>ROUND(J38/KÄYTTÖTAULU!$I$8,2)</f>
        <v>#DIV/0!</v>
      </c>
      <c r="M38" s="1" t="e">
        <f t="shared" si="17"/>
        <v>#DIV/0!</v>
      </c>
      <c r="N38" s="1" t="e">
        <f t="shared" si="18"/>
        <v>#DIV/0!</v>
      </c>
      <c r="O38" s="10"/>
      <c r="P38" s="10"/>
      <c r="Q38" s="10"/>
      <c r="R38" s="17">
        <v>0</v>
      </c>
      <c r="S38" s="1">
        <v>4</v>
      </c>
      <c r="T38" s="1">
        <v>3</v>
      </c>
      <c r="U38" s="1">
        <v>6</v>
      </c>
      <c r="V38" s="1">
        <v>6</v>
      </c>
      <c r="W38" s="40">
        <v>6</v>
      </c>
      <c r="X38" s="1">
        <v>1</v>
      </c>
      <c r="Y38" s="1">
        <f t="shared" si="0"/>
        <v>1.04</v>
      </c>
      <c r="Z38" s="1">
        <f t="shared" si="1"/>
        <v>1.0712000000000002</v>
      </c>
      <c r="AA38" s="1">
        <f t="shared" si="2"/>
        <v>1.1354720000000003</v>
      </c>
      <c r="AB38" s="1">
        <f t="shared" si="19"/>
        <v>1.2036003200000003</v>
      </c>
      <c r="AC38" s="40">
        <f t="shared" si="4"/>
        <v>1.2758163392000004</v>
      </c>
      <c r="AE38" s="1">
        <v>0</v>
      </c>
      <c r="AF38" s="1">
        <v>4</v>
      </c>
      <c r="AG38" s="1">
        <v>4</v>
      </c>
      <c r="AH38" s="1">
        <v>6</v>
      </c>
      <c r="AI38" s="1">
        <v>6</v>
      </c>
      <c r="AJ38" s="1">
        <v>6</v>
      </c>
      <c r="AL38" s="1">
        <f t="shared" si="3"/>
        <v>1</v>
      </c>
    </row>
    <row r="39" spans="1:38" x14ac:dyDescent="0.3">
      <c r="A39" s="1">
        <v>34</v>
      </c>
      <c r="B39" s="9" t="s">
        <v>254</v>
      </c>
      <c r="C39" s="160">
        <f>VLOOKUP(MID(B39,1,8)-0,'1.6.2024'!$B$9:$G$160,3,FALSE)</f>
        <v>3194.39</v>
      </c>
      <c r="D39" s="160">
        <f>VLOOKUP(MID(B39,1,8)-0,'1.6.2024'!$B$9:$G$160,5,FALSE)</f>
        <v>3164.17</v>
      </c>
      <c r="E39" s="10">
        <f>IF('muut muuttujat'!$G$3=1,C39,KÄYTTÖTAULU!$B$13)</f>
        <v>3194.39</v>
      </c>
      <c r="F39" s="10">
        <f>IF('muut muuttujat'!$G$3=1,D39,KÄYTTÖTAULU!$B$13)</f>
        <v>3164.17</v>
      </c>
      <c r="G39" s="10">
        <f>KÄYTTÖTAULU!$F$6</f>
        <v>0</v>
      </c>
      <c r="H39" s="10">
        <f>KÄYTTÖTAULU!$F$6</f>
        <v>0</v>
      </c>
      <c r="I39" s="10">
        <f t="shared" si="20"/>
        <v>0</v>
      </c>
      <c r="J39" s="10">
        <f t="shared" si="21"/>
        <v>0</v>
      </c>
      <c r="K39" s="1" t="e">
        <f>ROUND(I39/KÄYTTÖTAULU!$I$8,2)</f>
        <v>#DIV/0!</v>
      </c>
      <c r="L39" s="1" t="e">
        <f>ROUND(J39/KÄYTTÖTAULU!$I$8,2)</f>
        <v>#DIV/0!</v>
      </c>
      <c r="M39" s="1" t="e">
        <f t="shared" si="17"/>
        <v>#DIV/0!</v>
      </c>
      <c r="N39" s="1" t="e">
        <f t="shared" si="18"/>
        <v>#DIV/0!</v>
      </c>
      <c r="O39" s="10"/>
      <c r="P39" s="10"/>
      <c r="Q39" s="10"/>
      <c r="R39" s="17">
        <v>0</v>
      </c>
      <c r="S39" s="1">
        <v>4</v>
      </c>
      <c r="T39" s="1">
        <v>3</v>
      </c>
      <c r="U39" s="1">
        <v>6</v>
      </c>
      <c r="V39" s="1">
        <v>6</v>
      </c>
      <c r="W39" s="40">
        <v>6</v>
      </c>
      <c r="X39" s="1">
        <v>1</v>
      </c>
      <c r="Y39" s="1">
        <f t="shared" si="0"/>
        <v>1.04</v>
      </c>
      <c r="Z39" s="1">
        <f t="shared" si="1"/>
        <v>1.0712000000000002</v>
      </c>
      <c r="AA39" s="1">
        <f t="shared" si="2"/>
        <v>1.1354720000000003</v>
      </c>
      <c r="AB39" s="1">
        <f t="shared" si="19"/>
        <v>1.2036003200000003</v>
      </c>
      <c r="AC39" s="40">
        <f t="shared" si="4"/>
        <v>1.2758163392000004</v>
      </c>
      <c r="AE39" s="1">
        <v>0</v>
      </c>
      <c r="AF39" s="1">
        <v>4</v>
      </c>
      <c r="AG39" s="1">
        <v>4</v>
      </c>
      <c r="AH39" s="1">
        <v>6</v>
      </c>
      <c r="AI39" s="1">
        <v>6</v>
      </c>
      <c r="AJ39" s="1">
        <v>6</v>
      </c>
      <c r="AL39" s="1">
        <f t="shared" si="3"/>
        <v>1</v>
      </c>
    </row>
    <row r="40" spans="1:38" x14ac:dyDescent="0.3">
      <c r="A40" s="1">
        <v>35</v>
      </c>
      <c r="B40" s="9" t="s">
        <v>255</v>
      </c>
      <c r="C40" s="160">
        <f>VLOOKUP(MID(B40,1,8)-0,'1.6.2024'!$B$9:$G$160,3,FALSE)</f>
        <v>3082.7</v>
      </c>
      <c r="D40" s="160">
        <f>VLOOKUP(MID(B40,1,8)-0,'1.6.2024'!$B$9:$G$160,5,FALSE)</f>
        <v>3053.53</v>
      </c>
      <c r="E40" s="10">
        <f>IF('muut muuttujat'!$G$3=1,C40,KÄYTTÖTAULU!$B$13)</f>
        <v>3082.7</v>
      </c>
      <c r="F40" s="10">
        <f>IF('muut muuttujat'!$G$3=1,D40,KÄYTTÖTAULU!$B$13)</f>
        <v>3053.53</v>
      </c>
      <c r="G40" s="10">
        <f>KÄYTTÖTAULU!$F$6</f>
        <v>0</v>
      </c>
      <c r="H40" s="10">
        <f>KÄYTTÖTAULU!$F$6</f>
        <v>0</v>
      </c>
      <c r="I40" s="10">
        <f t="shared" si="20"/>
        <v>0</v>
      </c>
      <c r="J40" s="10">
        <f t="shared" si="21"/>
        <v>0</v>
      </c>
      <c r="K40" s="1" t="e">
        <f>ROUND(I40/KÄYTTÖTAULU!$I$8,2)</f>
        <v>#DIV/0!</v>
      </c>
      <c r="L40" s="1" t="e">
        <f>ROUND(J40/KÄYTTÖTAULU!$I$8,2)</f>
        <v>#DIV/0!</v>
      </c>
      <c r="M40" s="1" t="e">
        <f t="shared" si="17"/>
        <v>#DIV/0!</v>
      </c>
      <c r="N40" s="1" t="e">
        <f t="shared" si="18"/>
        <v>#DIV/0!</v>
      </c>
      <c r="O40" s="10"/>
      <c r="P40" s="10"/>
      <c r="Q40" s="10"/>
      <c r="R40" s="17">
        <v>0</v>
      </c>
      <c r="S40" s="1">
        <v>4</v>
      </c>
      <c r="T40" s="1">
        <v>3</v>
      </c>
      <c r="U40" s="1">
        <v>6</v>
      </c>
      <c r="V40" s="1">
        <v>6</v>
      </c>
      <c r="W40" s="40">
        <v>6</v>
      </c>
      <c r="X40" s="1">
        <v>1</v>
      </c>
      <c r="Y40" s="1">
        <f t="shared" si="0"/>
        <v>1.04</v>
      </c>
      <c r="Z40" s="1">
        <f t="shared" si="1"/>
        <v>1.0712000000000002</v>
      </c>
      <c r="AA40" s="1">
        <f t="shared" si="2"/>
        <v>1.1354720000000003</v>
      </c>
      <c r="AB40" s="1">
        <f t="shared" si="19"/>
        <v>1.2036003200000003</v>
      </c>
      <c r="AC40" s="40">
        <f t="shared" si="4"/>
        <v>1.2758163392000004</v>
      </c>
      <c r="AE40" s="1">
        <v>0</v>
      </c>
      <c r="AF40" s="1">
        <v>4</v>
      </c>
      <c r="AG40" s="1">
        <v>4</v>
      </c>
      <c r="AH40" s="1">
        <v>6</v>
      </c>
      <c r="AI40" s="1">
        <v>6</v>
      </c>
      <c r="AJ40" s="1">
        <v>6</v>
      </c>
      <c r="AL40" s="1">
        <f t="shared" si="3"/>
        <v>1</v>
      </c>
    </row>
    <row r="41" spans="1:38" x14ac:dyDescent="0.3">
      <c r="A41" s="1">
        <v>36</v>
      </c>
      <c r="B41" s="9" t="s">
        <v>256</v>
      </c>
      <c r="C41" s="160">
        <f>VLOOKUP(MID(B41,1,8)-0,'1.6.2024'!$B$9:$G$160,3,FALSE)</f>
        <v>2983.87</v>
      </c>
      <c r="D41" s="160">
        <f>VLOOKUP(MID(B41,1,8)-0,'1.6.2024'!$B$9:$G$160,5,FALSE)</f>
        <v>2955.62</v>
      </c>
      <c r="E41" s="10">
        <f>IF('muut muuttujat'!$G$3=1,C41,KÄYTTÖTAULU!$B$13)</f>
        <v>2983.87</v>
      </c>
      <c r="F41" s="10">
        <f>IF('muut muuttujat'!$G$3=1,D41,KÄYTTÖTAULU!$B$13)</f>
        <v>2955.62</v>
      </c>
      <c r="G41" s="10">
        <f>KÄYTTÖTAULU!$F$6</f>
        <v>0</v>
      </c>
      <c r="H41" s="10">
        <f>KÄYTTÖTAULU!$F$6</f>
        <v>0</v>
      </c>
      <c r="I41" s="10">
        <f t="shared" si="20"/>
        <v>0</v>
      </c>
      <c r="J41" s="10">
        <f t="shared" si="21"/>
        <v>0</v>
      </c>
      <c r="K41" s="1" t="e">
        <f>ROUND(I41/KÄYTTÖTAULU!$I$8,2)</f>
        <v>#DIV/0!</v>
      </c>
      <c r="L41" s="1" t="e">
        <f>ROUND(J41/KÄYTTÖTAULU!$I$8,2)</f>
        <v>#DIV/0!</v>
      </c>
      <c r="M41" s="1" t="e">
        <f t="shared" si="17"/>
        <v>#DIV/0!</v>
      </c>
      <c r="N41" s="1" t="e">
        <f t="shared" si="18"/>
        <v>#DIV/0!</v>
      </c>
      <c r="O41" s="10"/>
      <c r="P41" s="10"/>
      <c r="Q41" s="10"/>
      <c r="R41" s="17">
        <v>0</v>
      </c>
      <c r="S41" s="1">
        <v>4</v>
      </c>
      <c r="T41" s="1">
        <v>3</v>
      </c>
      <c r="U41" s="1">
        <v>6</v>
      </c>
      <c r="V41" s="1">
        <v>6</v>
      </c>
      <c r="W41" s="40">
        <v>6</v>
      </c>
      <c r="X41" s="1">
        <v>1</v>
      </c>
      <c r="Y41" s="1">
        <f t="shared" si="0"/>
        <v>1.04</v>
      </c>
      <c r="Z41" s="1">
        <f t="shared" si="1"/>
        <v>1.0712000000000002</v>
      </c>
      <c r="AA41" s="1">
        <f t="shared" si="2"/>
        <v>1.1354720000000003</v>
      </c>
      <c r="AB41" s="1">
        <f t="shared" si="19"/>
        <v>1.2036003200000003</v>
      </c>
      <c r="AC41" s="40">
        <f t="shared" si="4"/>
        <v>1.2758163392000004</v>
      </c>
      <c r="AE41" s="1">
        <v>0</v>
      </c>
      <c r="AF41" s="1">
        <v>4</v>
      </c>
      <c r="AG41" s="1">
        <v>4</v>
      </c>
      <c r="AH41" s="1">
        <v>6</v>
      </c>
      <c r="AI41" s="1">
        <v>6</v>
      </c>
      <c r="AJ41" s="1">
        <v>6</v>
      </c>
      <c r="AL41" s="1">
        <f t="shared" si="3"/>
        <v>1</v>
      </c>
    </row>
    <row r="42" spans="1:38" x14ac:dyDescent="0.3">
      <c r="A42" s="1">
        <v>37</v>
      </c>
      <c r="B42" s="9" t="s">
        <v>257</v>
      </c>
      <c r="C42" s="160">
        <f>VLOOKUP(MID(B42,1,8)-0,'1.6.2024'!$B$9:$G$160,3,FALSE)</f>
        <v>2937.34</v>
      </c>
      <c r="D42" s="160">
        <f>VLOOKUP(MID(B42,1,8)-0,'1.6.2024'!$B$9:$G$160,5,FALSE)</f>
        <v>2909.58</v>
      </c>
      <c r="E42" s="10">
        <f>IF('muut muuttujat'!$G$3=1,C42,KÄYTTÖTAULU!$B$13)</f>
        <v>2937.34</v>
      </c>
      <c r="F42" s="10">
        <f>IF('muut muuttujat'!$G$3=1,D42,KÄYTTÖTAULU!$B$13)</f>
        <v>2909.58</v>
      </c>
      <c r="G42" s="10">
        <f>KÄYTTÖTAULU!$F$6</f>
        <v>0</v>
      </c>
      <c r="H42" s="10">
        <f>KÄYTTÖTAULU!$F$6</f>
        <v>0</v>
      </c>
      <c r="I42" s="10">
        <f t="shared" si="20"/>
        <v>0</v>
      </c>
      <c r="J42" s="10">
        <f t="shared" si="21"/>
        <v>0</v>
      </c>
      <c r="K42" s="1" t="e">
        <f>ROUND(I42/KÄYTTÖTAULU!$I$8,2)</f>
        <v>#DIV/0!</v>
      </c>
      <c r="L42" s="1" t="e">
        <f>ROUND(J42/KÄYTTÖTAULU!$I$8,2)</f>
        <v>#DIV/0!</v>
      </c>
      <c r="M42" s="1" t="e">
        <f t="shared" si="17"/>
        <v>#DIV/0!</v>
      </c>
      <c r="N42" s="1" t="e">
        <f t="shared" si="18"/>
        <v>#DIV/0!</v>
      </c>
      <c r="O42" s="10"/>
      <c r="P42" s="10"/>
      <c r="Q42" s="10"/>
      <c r="R42" s="17">
        <v>0</v>
      </c>
      <c r="S42" s="1">
        <v>4</v>
      </c>
      <c r="T42" s="1">
        <v>3</v>
      </c>
      <c r="U42" s="1">
        <v>6</v>
      </c>
      <c r="V42" s="1">
        <v>6</v>
      </c>
      <c r="W42" s="40">
        <v>6</v>
      </c>
      <c r="X42" s="1">
        <v>1</v>
      </c>
      <c r="Y42" s="1">
        <f t="shared" si="0"/>
        <v>1.04</v>
      </c>
      <c r="Z42" s="1">
        <f t="shared" si="1"/>
        <v>1.0712000000000002</v>
      </c>
      <c r="AA42" s="1">
        <f t="shared" si="2"/>
        <v>1.1354720000000003</v>
      </c>
      <c r="AB42" s="1">
        <f t="shared" si="19"/>
        <v>1.2036003200000003</v>
      </c>
      <c r="AC42" s="40">
        <f t="shared" si="4"/>
        <v>1.2758163392000004</v>
      </c>
      <c r="AE42" s="1">
        <v>0</v>
      </c>
      <c r="AF42" s="1">
        <v>4</v>
      </c>
      <c r="AG42" s="1">
        <v>4</v>
      </c>
      <c r="AH42" s="1">
        <v>6</v>
      </c>
      <c r="AI42" s="1">
        <v>6</v>
      </c>
      <c r="AJ42" s="1">
        <v>6</v>
      </c>
      <c r="AL42" s="1">
        <f t="shared" si="3"/>
        <v>1</v>
      </c>
    </row>
    <row r="43" spans="1:38" x14ac:dyDescent="0.3">
      <c r="A43" s="1">
        <v>38</v>
      </c>
      <c r="B43" s="9" t="s">
        <v>258</v>
      </c>
      <c r="C43" s="160">
        <f>VLOOKUP(MID(B43,1,8)-0,'1.6.2024'!$B$9:$G$160,3,FALSE)</f>
        <v>2815.17</v>
      </c>
      <c r="D43" s="160">
        <f>VLOOKUP(MID(B43,1,8)-0,'1.6.2024'!$B$9:$G$160,5,FALSE)</f>
        <v>2788.6</v>
      </c>
      <c r="E43" s="10">
        <f>IF('muut muuttujat'!$G$3=1,C43,KÄYTTÖTAULU!$B$13)</f>
        <v>2815.17</v>
      </c>
      <c r="F43" s="10">
        <f>IF('muut muuttujat'!$G$3=1,D43,KÄYTTÖTAULU!$B$13)</f>
        <v>2788.6</v>
      </c>
      <c r="G43" s="10">
        <f>KÄYTTÖTAULU!$F$6</f>
        <v>0</v>
      </c>
      <c r="H43" s="10">
        <f>KÄYTTÖTAULU!$F$6</f>
        <v>0</v>
      </c>
      <c r="I43" s="10">
        <f t="shared" si="20"/>
        <v>0</v>
      </c>
      <c r="J43" s="10">
        <f t="shared" si="21"/>
        <v>0</v>
      </c>
      <c r="K43" s="1" t="e">
        <f>ROUND(I43/KÄYTTÖTAULU!$I$8,2)</f>
        <v>#DIV/0!</v>
      </c>
      <c r="L43" s="1" t="e">
        <f>ROUND(J43/KÄYTTÖTAULU!$I$8,2)</f>
        <v>#DIV/0!</v>
      </c>
      <c r="M43" s="1" t="e">
        <f t="shared" si="17"/>
        <v>#DIV/0!</v>
      </c>
      <c r="N43" s="1" t="e">
        <f t="shared" si="18"/>
        <v>#DIV/0!</v>
      </c>
      <c r="O43" s="10"/>
      <c r="P43" s="10"/>
      <c r="Q43" s="10"/>
      <c r="R43" s="17">
        <v>0</v>
      </c>
      <c r="S43" s="1">
        <v>4</v>
      </c>
      <c r="T43" s="1">
        <v>3</v>
      </c>
      <c r="U43" s="1">
        <v>6</v>
      </c>
      <c r="V43" s="1">
        <v>6</v>
      </c>
      <c r="W43" s="40">
        <v>6</v>
      </c>
      <c r="X43" s="1">
        <v>1</v>
      </c>
      <c r="Y43" s="1">
        <f t="shared" si="0"/>
        <v>1.04</v>
      </c>
      <c r="Z43" s="1">
        <f t="shared" si="1"/>
        <v>1.0712000000000002</v>
      </c>
      <c r="AA43" s="1">
        <f t="shared" si="2"/>
        <v>1.1354720000000003</v>
      </c>
      <c r="AB43" s="1">
        <f t="shared" si="19"/>
        <v>1.2036003200000003</v>
      </c>
      <c r="AC43" s="40">
        <f t="shared" si="4"/>
        <v>1.2758163392000004</v>
      </c>
      <c r="AE43" s="1">
        <v>0</v>
      </c>
      <c r="AF43" s="1">
        <v>4</v>
      </c>
      <c r="AG43" s="1">
        <v>4</v>
      </c>
      <c r="AH43" s="1">
        <v>6</v>
      </c>
      <c r="AI43" s="1">
        <v>6</v>
      </c>
      <c r="AJ43" s="1">
        <v>6</v>
      </c>
      <c r="AL43" s="1">
        <f t="shared" si="3"/>
        <v>1</v>
      </c>
    </row>
    <row r="44" spans="1:38" x14ac:dyDescent="0.3">
      <c r="A44" s="1">
        <v>39</v>
      </c>
      <c r="B44" s="9" t="s">
        <v>259</v>
      </c>
      <c r="C44" s="160">
        <f>VLOOKUP(MID(B44,1,8)-0,'1.6.2024'!$B$9:$G$160,3,FALSE)</f>
        <v>2460.56</v>
      </c>
      <c r="D44" s="160">
        <f>VLOOKUP(MID(B44,1,8)-0,'1.6.2024'!$B$9:$G$160,5,FALSE)</f>
        <v>2437.5500000000002</v>
      </c>
      <c r="E44" s="10">
        <f>IF('muut muuttujat'!$G$3=1,C44,KÄYTTÖTAULU!$B$13)</f>
        <v>2460.56</v>
      </c>
      <c r="F44" s="10">
        <f>IF('muut muuttujat'!$G$3=1,D44,KÄYTTÖTAULU!$B$13)</f>
        <v>2437.5500000000002</v>
      </c>
      <c r="G44" s="10">
        <f>KÄYTTÖTAULU!$F$6</f>
        <v>0</v>
      </c>
      <c r="H44" s="10">
        <f>KÄYTTÖTAULU!$F$6</f>
        <v>0</v>
      </c>
      <c r="I44" s="10">
        <f t="shared" si="20"/>
        <v>0</v>
      </c>
      <c r="J44" s="10">
        <f t="shared" si="21"/>
        <v>0</v>
      </c>
      <c r="K44" s="1" t="e">
        <f>ROUND(I44/KÄYTTÖTAULU!$I$8,2)</f>
        <v>#DIV/0!</v>
      </c>
      <c r="L44" s="1" t="e">
        <f>ROUND(J44/KÄYTTÖTAULU!$I$8,2)</f>
        <v>#DIV/0!</v>
      </c>
      <c r="M44" s="1" t="e">
        <f t="shared" si="17"/>
        <v>#DIV/0!</v>
      </c>
      <c r="N44" s="1" t="e">
        <f t="shared" si="18"/>
        <v>#DIV/0!</v>
      </c>
      <c r="O44" s="10"/>
      <c r="P44" s="10"/>
      <c r="Q44" s="10"/>
      <c r="R44" s="17">
        <v>0</v>
      </c>
      <c r="S44" s="1">
        <v>4</v>
      </c>
      <c r="T44" s="1">
        <v>3</v>
      </c>
      <c r="U44" s="1">
        <v>6</v>
      </c>
      <c r="V44" s="1">
        <v>6</v>
      </c>
      <c r="W44" s="40">
        <v>6</v>
      </c>
      <c r="X44" s="1">
        <v>1</v>
      </c>
      <c r="Y44" s="1">
        <f t="shared" si="0"/>
        <v>1.04</v>
      </c>
      <c r="Z44" s="1">
        <f t="shared" si="1"/>
        <v>1.0712000000000002</v>
      </c>
      <c r="AA44" s="1">
        <f t="shared" si="2"/>
        <v>1.1354720000000003</v>
      </c>
      <c r="AB44" s="1">
        <f t="shared" si="19"/>
        <v>1.2036003200000003</v>
      </c>
      <c r="AC44" s="40">
        <f t="shared" si="4"/>
        <v>1.2758163392000004</v>
      </c>
      <c r="AE44" s="1">
        <v>0</v>
      </c>
      <c r="AF44" s="1">
        <v>4</v>
      </c>
      <c r="AG44" s="1">
        <v>4</v>
      </c>
      <c r="AH44" s="1">
        <v>6</v>
      </c>
      <c r="AI44" s="1">
        <v>6</v>
      </c>
      <c r="AJ44" s="1">
        <v>6</v>
      </c>
      <c r="AL44" s="1">
        <f t="shared" si="3"/>
        <v>1</v>
      </c>
    </row>
    <row r="45" spans="1:38" x14ac:dyDescent="0.3">
      <c r="A45" s="1">
        <v>40</v>
      </c>
      <c r="B45" s="9" t="s">
        <v>260</v>
      </c>
      <c r="C45" s="160">
        <f>VLOOKUP(MID(B45,1,8)-0,'1.6.2024'!$B$9:$G$160,3,FALSE)</f>
        <v>3172.35</v>
      </c>
      <c r="D45" s="160">
        <f>VLOOKUP(MID(B45,1,8)-0,'1.6.2024'!$B$9:$G$160,5,FALSE)</f>
        <v>3142.35</v>
      </c>
      <c r="E45" s="10">
        <f>IF('muut muuttujat'!$G$3=1,C45,KÄYTTÖTAULU!$B$13)</f>
        <v>3172.35</v>
      </c>
      <c r="F45" s="10">
        <f>IF('muut muuttujat'!$G$3=1,D45,KÄYTTÖTAULU!$B$13)</f>
        <v>3142.35</v>
      </c>
      <c r="G45" s="10">
        <f>KÄYTTÖTAULU!$F$6</f>
        <v>0</v>
      </c>
      <c r="H45" s="10">
        <f>KÄYTTÖTAULU!$F$6</f>
        <v>0</v>
      </c>
      <c r="I45" s="10">
        <f t="shared" si="20"/>
        <v>0</v>
      </c>
      <c r="J45" s="10">
        <f t="shared" si="21"/>
        <v>0</v>
      </c>
      <c r="K45" s="1" t="e">
        <f>ROUND(I45/KÄYTTÖTAULU!$I$8,2)</f>
        <v>#DIV/0!</v>
      </c>
      <c r="L45" s="1" t="e">
        <f>ROUND(J45/KÄYTTÖTAULU!$I$8,2)</f>
        <v>#DIV/0!</v>
      </c>
      <c r="M45" s="1" t="e">
        <f t="shared" si="17"/>
        <v>#DIV/0!</v>
      </c>
      <c r="N45" s="1" t="e">
        <f t="shared" si="18"/>
        <v>#DIV/0!</v>
      </c>
      <c r="O45" s="10"/>
      <c r="P45" s="10"/>
      <c r="Q45" s="10"/>
      <c r="R45" s="17">
        <v>0</v>
      </c>
      <c r="S45" s="1">
        <v>4</v>
      </c>
      <c r="T45" s="1">
        <v>3</v>
      </c>
      <c r="U45" s="1">
        <v>6</v>
      </c>
      <c r="V45" s="1">
        <v>6</v>
      </c>
      <c r="W45" s="40">
        <v>6</v>
      </c>
      <c r="X45" s="1">
        <v>1</v>
      </c>
      <c r="Y45" s="1">
        <f t="shared" si="0"/>
        <v>1.04</v>
      </c>
      <c r="Z45" s="1">
        <f t="shared" si="1"/>
        <v>1.0712000000000002</v>
      </c>
      <c r="AA45" s="1">
        <f t="shared" si="2"/>
        <v>1.1354720000000003</v>
      </c>
      <c r="AB45" s="1">
        <f t="shared" si="19"/>
        <v>1.2036003200000003</v>
      </c>
      <c r="AC45" s="40">
        <f t="shared" si="4"/>
        <v>1.2758163392000004</v>
      </c>
      <c r="AE45" s="1">
        <v>0</v>
      </c>
      <c r="AF45" s="1">
        <v>4</v>
      </c>
      <c r="AG45" s="1">
        <v>4</v>
      </c>
      <c r="AH45" s="1">
        <v>6</v>
      </c>
      <c r="AI45" s="1">
        <v>6</v>
      </c>
      <c r="AJ45" s="1">
        <v>6</v>
      </c>
      <c r="AL45" s="1">
        <f t="shared" si="3"/>
        <v>1</v>
      </c>
    </row>
    <row r="46" spans="1:38" x14ac:dyDescent="0.3">
      <c r="A46" s="1">
        <v>41</v>
      </c>
      <c r="B46" s="9" t="s">
        <v>261</v>
      </c>
      <c r="C46" s="160">
        <f>VLOOKUP(MID(B46,1,8)-0,'1.6.2024'!$B$9:$G$160,3,FALSE)</f>
        <v>2953.21</v>
      </c>
      <c r="D46" s="160">
        <f>VLOOKUP(MID(B46,1,8)-0,'1.6.2024'!$B$9:$G$160,5,FALSE)</f>
        <v>2925.3</v>
      </c>
      <c r="E46" s="10">
        <f>IF('muut muuttujat'!$G$3=1,C46,KÄYTTÖTAULU!$B$13)</f>
        <v>2953.21</v>
      </c>
      <c r="F46" s="10">
        <f>IF('muut muuttujat'!$G$3=1,D46,KÄYTTÖTAULU!$B$13)</f>
        <v>2925.3</v>
      </c>
      <c r="G46" s="10">
        <f>KÄYTTÖTAULU!$F$6</f>
        <v>0</v>
      </c>
      <c r="H46" s="10">
        <f>KÄYTTÖTAULU!$F$6</f>
        <v>0</v>
      </c>
      <c r="I46" s="10">
        <f t="shared" si="20"/>
        <v>0</v>
      </c>
      <c r="J46" s="10">
        <f t="shared" si="21"/>
        <v>0</v>
      </c>
      <c r="K46" s="1" t="e">
        <f>ROUND(I46/KÄYTTÖTAULU!$I$8,2)</f>
        <v>#DIV/0!</v>
      </c>
      <c r="L46" s="1" t="e">
        <f>ROUND(J46/KÄYTTÖTAULU!$I$8,2)</f>
        <v>#DIV/0!</v>
      </c>
      <c r="M46" s="1" t="e">
        <f t="shared" si="17"/>
        <v>#DIV/0!</v>
      </c>
      <c r="N46" s="1" t="e">
        <f t="shared" si="18"/>
        <v>#DIV/0!</v>
      </c>
      <c r="O46" s="10"/>
      <c r="P46" s="10"/>
      <c r="Q46" s="10"/>
      <c r="R46" s="17">
        <v>0</v>
      </c>
      <c r="S46" s="1">
        <v>4</v>
      </c>
      <c r="T46" s="1">
        <v>3</v>
      </c>
      <c r="U46" s="1">
        <v>6</v>
      </c>
      <c r="V46" s="1">
        <v>6</v>
      </c>
      <c r="W46" s="40">
        <v>6</v>
      </c>
      <c r="X46" s="1">
        <v>1</v>
      </c>
      <c r="Y46" s="1">
        <f t="shared" si="0"/>
        <v>1.04</v>
      </c>
      <c r="Z46" s="1">
        <f t="shared" si="1"/>
        <v>1.0712000000000002</v>
      </c>
      <c r="AA46" s="1">
        <f t="shared" si="2"/>
        <v>1.1354720000000003</v>
      </c>
      <c r="AB46" s="1">
        <f t="shared" si="19"/>
        <v>1.2036003200000003</v>
      </c>
      <c r="AC46" s="40">
        <f t="shared" si="4"/>
        <v>1.2758163392000004</v>
      </c>
      <c r="AE46" s="1">
        <v>0</v>
      </c>
      <c r="AF46" s="1">
        <v>4</v>
      </c>
      <c r="AG46" s="1">
        <v>4</v>
      </c>
      <c r="AH46" s="1">
        <v>6</v>
      </c>
      <c r="AI46" s="1">
        <v>6</v>
      </c>
      <c r="AJ46" s="1">
        <v>6</v>
      </c>
      <c r="AL46" s="1">
        <f t="shared" si="3"/>
        <v>1</v>
      </c>
    </row>
    <row r="47" spans="1:38" x14ac:dyDescent="0.3">
      <c r="A47" s="1">
        <v>42</v>
      </c>
      <c r="B47" s="9" t="s">
        <v>262</v>
      </c>
      <c r="C47" s="160">
        <f>VLOOKUP(MID(B47,1,8)-0,'1.6.2024'!$B$9:$G$160,3,FALSE)</f>
        <v>2842.53</v>
      </c>
      <c r="D47" s="160">
        <f>VLOOKUP(MID(B47,1,8)-0,'1.6.2024'!$B$9:$G$160,5,FALSE)</f>
        <v>2815.63</v>
      </c>
      <c r="E47" s="10">
        <f>IF('muut muuttujat'!$G$3=1,C47,KÄYTTÖTAULU!$B$13)</f>
        <v>2842.53</v>
      </c>
      <c r="F47" s="10">
        <f>IF('muut muuttujat'!$G$3=1,D47,KÄYTTÖTAULU!$B$13)</f>
        <v>2815.63</v>
      </c>
      <c r="G47" s="10">
        <f>KÄYTTÖTAULU!$F$6</f>
        <v>0</v>
      </c>
      <c r="H47" s="10">
        <f>KÄYTTÖTAULU!$F$6</f>
        <v>0</v>
      </c>
      <c r="I47" s="10">
        <f t="shared" si="20"/>
        <v>0</v>
      </c>
      <c r="J47" s="10">
        <f t="shared" si="21"/>
        <v>0</v>
      </c>
      <c r="K47" s="1" t="e">
        <f>ROUND(I47/KÄYTTÖTAULU!$I$8,2)</f>
        <v>#DIV/0!</v>
      </c>
      <c r="L47" s="1" t="e">
        <f>ROUND(J47/KÄYTTÖTAULU!$I$8,2)</f>
        <v>#DIV/0!</v>
      </c>
      <c r="M47" s="1" t="e">
        <f t="shared" si="17"/>
        <v>#DIV/0!</v>
      </c>
      <c r="N47" s="1" t="e">
        <f t="shared" si="18"/>
        <v>#DIV/0!</v>
      </c>
      <c r="O47" s="10"/>
      <c r="P47" s="10"/>
      <c r="Q47" s="10"/>
      <c r="R47" s="17">
        <v>0</v>
      </c>
      <c r="S47" s="1">
        <v>4</v>
      </c>
      <c r="T47" s="1">
        <v>3</v>
      </c>
      <c r="U47" s="1">
        <v>6</v>
      </c>
      <c r="V47" s="1">
        <v>6</v>
      </c>
      <c r="W47" s="40">
        <v>6</v>
      </c>
      <c r="X47" s="1">
        <v>1</v>
      </c>
      <c r="Y47" s="1">
        <f t="shared" si="0"/>
        <v>1.04</v>
      </c>
      <c r="Z47" s="1">
        <f t="shared" si="1"/>
        <v>1.0712000000000002</v>
      </c>
      <c r="AA47" s="1">
        <f t="shared" si="2"/>
        <v>1.1354720000000003</v>
      </c>
      <c r="AB47" s="1">
        <f t="shared" si="19"/>
        <v>1.2036003200000003</v>
      </c>
      <c r="AC47" s="40">
        <f t="shared" si="4"/>
        <v>1.2758163392000004</v>
      </c>
      <c r="AE47" s="1">
        <v>0</v>
      </c>
      <c r="AF47" s="1">
        <v>4</v>
      </c>
      <c r="AG47" s="1">
        <v>4</v>
      </c>
      <c r="AH47" s="1">
        <v>6</v>
      </c>
      <c r="AI47" s="1">
        <v>6</v>
      </c>
      <c r="AJ47" s="1">
        <v>6</v>
      </c>
      <c r="AL47" s="1">
        <f t="shared" si="3"/>
        <v>1</v>
      </c>
    </row>
    <row r="48" spans="1:38" x14ac:dyDescent="0.3">
      <c r="A48" s="1">
        <v>43</v>
      </c>
      <c r="B48" s="9" t="s">
        <v>497</v>
      </c>
      <c r="C48" s="160">
        <f>VLOOKUP(MID(B48,1,8)-0,'1.6.2024'!$B$9:$G$160,3,FALSE)</f>
        <v>2321.64</v>
      </c>
      <c r="D48" s="160">
        <f>VLOOKUP(MID(B48,1,8)-0,'1.6.2024'!$B$9:$G$160,5,FALSE)</f>
        <v>2300.3200000000002</v>
      </c>
      <c r="E48" s="10">
        <f>IF('muut muuttujat'!$G$3=1,C48,KÄYTTÖTAULU!$B$13)</f>
        <v>2321.64</v>
      </c>
      <c r="F48" s="10">
        <f>IF('muut muuttujat'!$G$3=1,D48,KÄYTTÖTAULU!$B$13)</f>
        <v>2300.3200000000002</v>
      </c>
      <c r="G48" s="10">
        <f>KÄYTTÖTAULU!$F$6</f>
        <v>0</v>
      </c>
      <c r="H48" s="10">
        <f>KÄYTTÖTAULU!$F$6</f>
        <v>0</v>
      </c>
      <c r="I48" s="10">
        <f t="shared" si="20"/>
        <v>0</v>
      </c>
      <c r="J48" s="10">
        <f t="shared" si="21"/>
        <v>0</v>
      </c>
      <c r="K48" s="1" t="e">
        <f>ROUND(I48/KÄYTTÖTAULU!$I$8,2)</f>
        <v>#DIV/0!</v>
      </c>
      <c r="L48" s="1" t="e">
        <f>ROUND(J48/KÄYTTÖTAULU!$I$8,2)</f>
        <v>#DIV/0!</v>
      </c>
      <c r="M48" s="1" t="e">
        <f t="shared" si="17"/>
        <v>#DIV/0!</v>
      </c>
      <c r="N48" s="1" t="e">
        <f t="shared" si="18"/>
        <v>#DIV/0!</v>
      </c>
      <c r="O48" s="10"/>
      <c r="P48" s="10"/>
      <c r="Q48" s="10"/>
      <c r="R48" s="17">
        <v>0</v>
      </c>
      <c r="S48" s="1">
        <v>4</v>
      </c>
      <c r="T48" s="1">
        <v>3</v>
      </c>
      <c r="U48" s="1">
        <v>6</v>
      </c>
      <c r="V48" s="1">
        <v>6</v>
      </c>
      <c r="W48" s="40">
        <v>6</v>
      </c>
      <c r="X48" s="1">
        <v>1</v>
      </c>
      <c r="Y48" s="1">
        <f t="shared" si="0"/>
        <v>1.04</v>
      </c>
      <c r="Z48" s="1">
        <f t="shared" si="1"/>
        <v>1.0712000000000002</v>
      </c>
      <c r="AA48" s="1">
        <f t="shared" si="2"/>
        <v>1.1354720000000003</v>
      </c>
      <c r="AB48" s="1">
        <f t="shared" si="19"/>
        <v>1.2036003200000003</v>
      </c>
      <c r="AC48" s="40">
        <f t="shared" si="4"/>
        <v>1.2758163392000004</v>
      </c>
      <c r="AE48" s="1">
        <v>0</v>
      </c>
      <c r="AF48" s="1">
        <v>4</v>
      </c>
      <c r="AG48" s="1">
        <v>4</v>
      </c>
      <c r="AH48" s="1">
        <v>6</v>
      </c>
      <c r="AI48" s="1">
        <v>6</v>
      </c>
      <c r="AJ48" s="1">
        <v>6</v>
      </c>
      <c r="AL48" s="1">
        <f t="shared" si="3"/>
        <v>1</v>
      </c>
    </row>
    <row r="49" spans="1:38" x14ac:dyDescent="0.3">
      <c r="A49" s="1">
        <v>44</v>
      </c>
      <c r="B49" s="9" t="s">
        <v>263</v>
      </c>
      <c r="C49" s="160">
        <f>VLOOKUP(MID(B49,1,8)-0,'1.6.2024'!$B$9:$G$160,3,FALSE)</f>
        <v>2216.34</v>
      </c>
      <c r="D49" s="160">
        <f>VLOOKUP(MID(B49,1,8)-0,'1.6.2024'!$B$9:$G$160,5,FALSE)</f>
        <v>2196.85</v>
      </c>
      <c r="E49" s="10">
        <f>IF('muut muuttujat'!$G$3=1,C49,KÄYTTÖTAULU!$B$13)</f>
        <v>2216.34</v>
      </c>
      <c r="F49" s="10">
        <f>IF('muut muuttujat'!$G$3=1,D49,KÄYTTÖTAULU!$B$13)</f>
        <v>2196.85</v>
      </c>
      <c r="G49" s="10">
        <f>KÄYTTÖTAULU!$F$6</f>
        <v>0</v>
      </c>
      <c r="H49" s="10">
        <f>KÄYTTÖTAULU!$F$6</f>
        <v>0</v>
      </c>
      <c r="I49" s="10">
        <f t="shared" si="20"/>
        <v>0</v>
      </c>
      <c r="J49" s="10">
        <f t="shared" si="21"/>
        <v>0</v>
      </c>
      <c r="K49" s="1" t="e">
        <f>ROUND(I49/KÄYTTÖTAULU!$I$8,2)</f>
        <v>#DIV/0!</v>
      </c>
      <c r="L49" s="1" t="e">
        <f>ROUND(J49/KÄYTTÖTAULU!$I$8,2)</f>
        <v>#DIV/0!</v>
      </c>
      <c r="M49" s="1" t="e">
        <f t="shared" si="17"/>
        <v>#DIV/0!</v>
      </c>
      <c r="N49" s="1" t="e">
        <f t="shared" si="18"/>
        <v>#DIV/0!</v>
      </c>
      <c r="O49" s="10"/>
      <c r="P49" s="10"/>
      <c r="Q49" s="10"/>
      <c r="R49" s="17">
        <v>0</v>
      </c>
      <c r="S49" s="1">
        <v>4</v>
      </c>
      <c r="T49" s="1">
        <v>3</v>
      </c>
      <c r="U49" s="1">
        <v>6</v>
      </c>
      <c r="V49" s="1">
        <v>6</v>
      </c>
      <c r="W49" s="40">
        <v>6</v>
      </c>
      <c r="X49" s="1">
        <v>1</v>
      </c>
      <c r="Y49" s="1">
        <f t="shared" si="0"/>
        <v>1.04</v>
      </c>
      <c r="Z49" s="1">
        <f t="shared" si="1"/>
        <v>1.0712000000000002</v>
      </c>
      <c r="AA49" s="1">
        <f t="shared" si="2"/>
        <v>1.1354720000000003</v>
      </c>
      <c r="AB49" s="1">
        <f t="shared" si="19"/>
        <v>1.2036003200000003</v>
      </c>
      <c r="AC49" s="40">
        <f t="shared" si="4"/>
        <v>1.2758163392000004</v>
      </c>
      <c r="AE49" s="1">
        <v>0</v>
      </c>
      <c r="AF49" s="1">
        <v>4</v>
      </c>
      <c r="AG49" s="1">
        <v>4</v>
      </c>
      <c r="AH49" s="1">
        <v>6</v>
      </c>
      <c r="AI49" s="1">
        <v>6</v>
      </c>
      <c r="AJ49" s="1">
        <v>6</v>
      </c>
      <c r="AL49" s="1">
        <f t="shared" si="3"/>
        <v>1</v>
      </c>
    </row>
    <row r="50" spans="1:38" x14ac:dyDescent="0.3">
      <c r="A50" s="1">
        <v>45</v>
      </c>
      <c r="B50" s="9" t="s">
        <v>264</v>
      </c>
      <c r="C50" s="160">
        <f>VLOOKUP(MID(B50,1,8)-0,'1.6.2024'!$B$9:$G$160,3,FALSE)</f>
        <v>2548.33</v>
      </c>
      <c r="D50" s="160">
        <f>VLOOKUP(MID(B50,1,8)-0,'1.6.2024'!$B$9:$G$160,5,FALSE)</f>
        <v>2524.21</v>
      </c>
      <c r="E50" s="10">
        <f>IF('muut muuttujat'!$G$3=1,C50,KÄYTTÖTAULU!$B$13)</f>
        <v>2548.33</v>
      </c>
      <c r="F50" s="10">
        <f>IF('muut muuttujat'!$G$3=1,D50,KÄYTTÖTAULU!$B$13)</f>
        <v>2524.21</v>
      </c>
      <c r="G50" s="10">
        <f>KÄYTTÖTAULU!$F$6</f>
        <v>0</v>
      </c>
      <c r="H50" s="10">
        <f>KÄYTTÖTAULU!$F$6</f>
        <v>0</v>
      </c>
      <c r="I50" s="10">
        <f t="shared" si="20"/>
        <v>0</v>
      </c>
      <c r="J50" s="10">
        <f t="shared" si="21"/>
        <v>0</v>
      </c>
      <c r="K50" s="1" t="e">
        <f>ROUND(I50/KÄYTTÖTAULU!$I$8,2)</f>
        <v>#DIV/0!</v>
      </c>
      <c r="L50" s="1" t="e">
        <f>ROUND(J50/KÄYTTÖTAULU!$I$8,2)</f>
        <v>#DIV/0!</v>
      </c>
      <c r="M50" s="1" t="e">
        <f t="shared" si="17"/>
        <v>#DIV/0!</v>
      </c>
      <c r="N50" s="1" t="e">
        <f t="shared" si="18"/>
        <v>#DIV/0!</v>
      </c>
      <c r="O50" s="10"/>
      <c r="P50" s="10"/>
      <c r="Q50" s="10"/>
      <c r="R50" s="17">
        <v>0</v>
      </c>
      <c r="S50" s="1">
        <v>6</v>
      </c>
      <c r="T50" s="1">
        <v>2</v>
      </c>
      <c r="U50" s="1">
        <v>9</v>
      </c>
      <c r="V50" s="1">
        <v>6</v>
      </c>
      <c r="W50" s="40">
        <v>6</v>
      </c>
      <c r="X50" s="1">
        <v>1</v>
      </c>
      <c r="Y50" s="1">
        <f t="shared" si="0"/>
        <v>1.06</v>
      </c>
      <c r="Z50" s="1">
        <f t="shared" si="1"/>
        <v>1.0812000000000002</v>
      </c>
      <c r="AA50" s="1">
        <f t="shared" si="2"/>
        <v>1.1785080000000003</v>
      </c>
      <c r="AB50" s="1">
        <f t="shared" si="19"/>
        <v>1.2492184800000004</v>
      </c>
      <c r="AC50" s="40">
        <f t="shared" si="4"/>
        <v>1.3241715888000005</v>
      </c>
      <c r="AE50" s="1">
        <v>0</v>
      </c>
      <c r="AF50" s="1">
        <v>6</v>
      </c>
      <c r="AG50" s="1">
        <v>3</v>
      </c>
      <c r="AH50" s="1">
        <v>9</v>
      </c>
      <c r="AI50" s="1">
        <v>6</v>
      </c>
      <c r="AJ50" s="1">
        <v>6</v>
      </c>
      <c r="AL50" s="1">
        <f t="shared" si="3"/>
        <v>1</v>
      </c>
    </row>
    <row r="51" spans="1:38" x14ac:dyDescent="0.3">
      <c r="A51" s="1">
        <v>46</v>
      </c>
      <c r="B51" s="9" t="s">
        <v>498</v>
      </c>
      <c r="C51" s="160">
        <f>VLOOKUP(MID(B51,1,8)-0,'1.6.2024'!$B$9:$G$160,3,FALSE)</f>
        <v>2548.33</v>
      </c>
      <c r="D51" s="160">
        <f>VLOOKUP(MID(B51,1,8)-0,'1.6.2024'!$B$9:$G$160,5,FALSE)</f>
        <v>2524.21</v>
      </c>
      <c r="E51" s="10">
        <f>IF('muut muuttujat'!$G$3=1,C51,KÄYTTÖTAULU!$B$13)</f>
        <v>2548.33</v>
      </c>
      <c r="F51" s="10">
        <f>IF('muut muuttujat'!$G$3=1,D51,KÄYTTÖTAULU!$B$13)</f>
        <v>2524.21</v>
      </c>
      <c r="G51" s="10">
        <f>KÄYTTÖTAULU!$F$6</f>
        <v>0</v>
      </c>
      <c r="H51" s="10">
        <f>KÄYTTÖTAULU!$F$6</f>
        <v>0</v>
      </c>
      <c r="I51" s="10">
        <f t="shared" si="20"/>
        <v>0</v>
      </c>
      <c r="J51" s="10">
        <f t="shared" si="21"/>
        <v>0</v>
      </c>
      <c r="K51" s="1" t="e">
        <f>ROUND(I51/KÄYTTÖTAULU!$I$8,2)</f>
        <v>#DIV/0!</v>
      </c>
      <c r="L51" s="1" t="e">
        <f>ROUND(J51/KÄYTTÖTAULU!$I$8,2)</f>
        <v>#DIV/0!</v>
      </c>
      <c r="M51" s="1" t="e">
        <f t="shared" si="17"/>
        <v>#DIV/0!</v>
      </c>
      <c r="N51" s="1" t="e">
        <f t="shared" si="18"/>
        <v>#DIV/0!</v>
      </c>
      <c r="O51" s="10"/>
      <c r="P51" s="10"/>
      <c r="Q51" s="10"/>
      <c r="R51" s="17">
        <v>0</v>
      </c>
      <c r="S51" s="1">
        <v>6</v>
      </c>
      <c r="T51" s="1">
        <v>2</v>
      </c>
      <c r="U51" s="1">
        <v>9</v>
      </c>
      <c r="V51" s="1">
        <v>6</v>
      </c>
      <c r="W51" s="40">
        <v>6</v>
      </c>
      <c r="X51" s="1">
        <v>1</v>
      </c>
      <c r="Y51" s="1">
        <f t="shared" si="0"/>
        <v>1.06</v>
      </c>
      <c r="Z51" s="1">
        <f t="shared" si="1"/>
        <v>1.0812000000000002</v>
      </c>
      <c r="AA51" s="1">
        <f t="shared" si="2"/>
        <v>1.1785080000000003</v>
      </c>
      <c r="AB51" s="1">
        <f t="shared" si="19"/>
        <v>1.2492184800000004</v>
      </c>
      <c r="AC51" s="40">
        <f t="shared" si="4"/>
        <v>1.3241715888000005</v>
      </c>
      <c r="AE51" s="1">
        <v>0</v>
      </c>
      <c r="AF51" s="1">
        <v>6</v>
      </c>
      <c r="AG51" s="1">
        <v>3</v>
      </c>
      <c r="AH51" s="1">
        <v>9</v>
      </c>
      <c r="AI51" s="1">
        <v>6</v>
      </c>
      <c r="AJ51" s="1">
        <v>6</v>
      </c>
      <c r="AL51" s="1">
        <f t="shared" si="3"/>
        <v>1</v>
      </c>
    </row>
    <row r="52" spans="1:38" x14ac:dyDescent="0.3">
      <c r="A52" s="1">
        <v>47</v>
      </c>
      <c r="B52" s="9" t="s">
        <v>265</v>
      </c>
      <c r="C52" s="160">
        <f>VLOOKUP(MID(B52,1,8)-0,'1.6.2024'!$B$9:$G$160,3,FALSE)</f>
        <v>2495.33</v>
      </c>
      <c r="D52" s="160">
        <f>VLOOKUP(MID(B52,1,8)-0,'1.6.2024'!$B$9:$G$160,5,FALSE)</f>
        <v>2471.6799999999998</v>
      </c>
      <c r="E52" s="10">
        <f>IF('muut muuttujat'!$G$3=1,C52,KÄYTTÖTAULU!$B$13)</f>
        <v>2495.33</v>
      </c>
      <c r="F52" s="10">
        <f>IF('muut muuttujat'!$G$3=1,D52,KÄYTTÖTAULU!$B$13)</f>
        <v>2471.6799999999998</v>
      </c>
      <c r="G52" s="10">
        <f>KÄYTTÖTAULU!$F$6</f>
        <v>0</v>
      </c>
      <c r="H52" s="10">
        <f>KÄYTTÖTAULU!$F$6</f>
        <v>0</v>
      </c>
      <c r="I52" s="10">
        <f t="shared" si="20"/>
        <v>0</v>
      </c>
      <c r="J52" s="10">
        <f t="shared" si="21"/>
        <v>0</v>
      </c>
      <c r="K52" s="1" t="e">
        <f>ROUND(I52/KÄYTTÖTAULU!$I$8,2)</f>
        <v>#DIV/0!</v>
      </c>
      <c r="L52" s="1" t="e">
        <f>ROUND(J52/KÄYTTÖTAULU!$I$8,2)</f>
        <v>#DIV/0!</v>
      </c>
      <c r="M52" s="1" t="e">
        <f t="shared" si="17"/>
        <v>#DIV/0!</v>
      </c>
      <c r="N52" s="1" t="e">
        <f t="shared" si="18"/>
        <v>#DIV/0!</v>
      </c>
      <c r="O52" s="10"/>
      <c r="P52" s="10"/>
      <c r="Q52" s="10"/>
      <c r="R52" s="17">
        <v>0</v>
      </c>
      <c r="S52" s="1">
        <v>6</v>
      </c>
      <c r="T52" s="1">
        <v>2</v>
      </c>
      <c r="U52" s="1">
        <v>9</v>
      </c>
      <c r="V52" s="1">
        <v>6</v>
      </c>
      <c r="W52" s="40">
        <v>6</v>
      </c>
      <c r="X52" s="1">
        <v>1</v>
      </c>
      <c r="Y52" s="1">
        <f t="shared" si="0"/>
        <v>1.06</v>
      </c>
      <c r="Z52" s="1">
        <f t="shared" si="1"/>
        <v>1.0812000000000002</v>
      </c>
      <c r="AA52" s="1">
        <f t="shared" si="2"/>
        <v>1.1785080000000003</v>
      </c>
      <c r="AB52" s="1">
        <f t="shared" si="19"/>
        <v>1.2492184800000004</v>
      </c>
      <c r="AC52" s="40">
        <f t="shared" si="4"/>
        <v>1.3241715888000005</v>
      </c>
      <c r="AE52" s="1">
        <v>0</v>
      </c>
      <c r="AF52" s="1">
        <v>6</v>
      </c>
      <c r="AG52" s="1">
        <v>3</v>
      </c>
      <c r="AH52" s="1">
        <v>9</v>
      </c>
      <c r="AI52" s="1">
        <v>6</v>
      </c>
      <c r="AJ52" s="1">
        <v>6</v>
      </c>
      <c r="AL52" s="1">
        <f t="shared" si="3"/>
        <v>1</v>
      </c>
    </row>
    <row r="53" spans="1:38" x14ac:dyDescent="0.3">
      <c r="A53" s="1">
        <v>48</v>
      </c>
      <c r="B53" s="9" t="s">
        <v>266</v>
      </c>
      <c r="C53" s="160">
        <f>VLOOKUP(MID(B53,1,8)-0,'1.6.2024'!$B$9:$G$160,3,FALSE)</f>
        <v>2150.8000000000002</v>
      </c>
      <c r="D53" s="160">
        <f>VLOOKUP(MID(B53,1,8)-0,'1.6.2024'!$B$9:$G$160,5,FALSE)</f>
        <v>2133.16</v>
      </c>
      <c r="E53" s="10">
        <f>IF('muut muuttujat'!$G$3=1,C53,KÄYTTÖTAULU!$B$13)</f>
        <v>2150.8000000000002</v>
      </c>
      <c r="F53" s="10">
        <f>IF('muut muuttujat'!$G$3=1,D53,KÄYTTÖTAULU!$B$13)</f>
        <v>2133.16</v>
      </c>
      <c r="G53" s="10">
        <f>KÄYTTÖTAULU!$F$6</f>
        <v>0</v>
      </c>
      <c r="H53" s="10">
        <f>KÄYTTÖTAULU!$F$6</f>
        <v>0</v>
      </c>
      <c r="I53" s="10">
        <f t="shared" si="20"/>
        <v>0</v>
      </c>
      <c r="J53" s="10">
        <f t="shared" si="21"/>
        <v>0</v>
      </c>
      <c r="K53" s="1" t="e">
        <f>ROUND(I53/KÄYTTÖTAULU!$I$8,2)</f>
        <v>#DIV/0!</v>
      </c>
      <c r="L53" s="1" t="e">
        <f>ROUND(J53/KÄYTTÖTAULU!$I$8,2)</f>
        <v>#DIV/0!</v>
      </c>
      <c r="M53" s="1" t="e">
        <f t="shared" si="17"/>
        <v>#DIV/0!</v>
      </c>
      <c r="N53" s="1" t="e">
        <f t="shared" si="18"/>
        <v>#DIV/0!</v>
      </c>
      <c r="O53" s="10"/>
      <c r="P53" s="10"/>
      <c r="Q53" s="10"/>
      <c r="R53" s="17">
        <v>0</v>
      </c>
      <c r="S53" s="1">
        <v>6</v>
      </c>
      <c r="T53" s="1">
        <v>2</v>
      </c>
      <c r="U53" s="1">
        <v>9</v>
      </c>
      <c r="V53" s="1">
        <v>6</v>
      </c>
      <c r="W53" s="40">
        <v>6</v>
      </c>
      <c r="X53" s="1">
        <v>1</v>
      </c>
      <c r="Y53" s="1">
        <f t="shared" si="0"/>
        <v>1.06</v>
      </c>
      <c r="Z53" s="1">
        <f t="shared" si="1"/>
        <v>1.0812000000000002</v>
      </c>
      <c r="AA53" s="1">
        <f t="shared" si="2"/>
        <v>1.1785080000000003</v>
      </c>
      <c r="AB53" s="1">
        <f t="shared" si="19"/>
        <v>1.2492184800000004</v>
      </c>
      <c r="AC53" s="40">
        <f t="shared" si="4"/>
        <v>1.3241715888000005</v>
      </c>
      <c r="AE53" s="1">
        <v>0</v>
      </c>
      <c r="AF53" s="1">
        <v>6</v>
      </c>
      <c r="AG53" s="1">
        <v>3</v>
      </c>
      <c r="AH53" s="1">
        <v>9</v>
      </c>
      <c r="AI53" s="1">
        <v>6</v>
      </c>
      <c r="AJ53" s="1">
        <v>6</v>
      </c>
      <c r="AL53" s="1">
        <f t="shared" si="3"/>
        <v>1</v>
      </c>
    </row>
    <row r="54" spans="1:38" x14ac:dyDescent="0.3">
      <c r="A54" s="1">
        <v>49</v>
      </c>
      <c r="B54" s="9" t="s">
        <v>267</v>
      </c>
      <c r="C54" s="160">
        <f>VLOOKUP(MID(B54,1,8)-0,'1.6.2024'!$B$9:$G$160,3,FALSE)</f>
        <v>3172.35</v>
      </c>
      <c r="D54" s="160">
        <f>VLOOKUP(MID(B54,1,8)-0,'1.6.2024'!$B$9:$G$160,5,FALSE)</f>
        <v>3142.35</v>
      </c>
      <c r="E54" s="10">
        <f>IF('muut muuttujat'!$G$3=1,C54,KÄYTTÖTAULU!$B$13)</f>
        <v>3172.35</v>
      </c>
      <c r="F54" s="10">
        <f>IF('muut muuttujat'!$G$3=1,D54,KÄYTTÖTAULU!$B$13)</f>
        <v>3142.35</v>
      </c>
      <c r="G54" s="10">
        <f>KÄYTTÖTAULU!$F$6</f>
        <v>0</v>
      </c>
      <c r="H54" s="10">
        <f>KÄYTTÖTAULU!$F$6</f>
        <v>0</v>
      </c>
      <c r="I54" s="10">
        <f t="shared" si="20"/>
        <v>0</v>
      </c>
      <c r="J54" s="10">
        <f t="shared" si="21"/>
        <v>0</v>
      </c>
      <c r="K54" s="1" t="e">
        <f>ROUND(I54/KÄYTTÖTAULU!$I$8,2)</f>
        <v>#DIV/0!</v>
      </c>
      <c r="L54" s="1" t="e">
        <f>ROUND(J54/KÄYTTÖTAULU!$I$8,2)</f>
        <v>#DIV/0!</v>
      </c>
      <c r="M54" s="1" t="e">
        <f t="shared" si="17"/>
        <v>#DIV/0!</v>
      </c>
      <c r="N54" s="1" t="e">
        <f t="shared" si="18"/>
        <v>#DIV/0!</v>
      </c>
      <c r="O54" s="10" t="e">
        <f>ROUND(ROUND(E54*0.84/KÄYTTÖTAULU!$I$8*12/38,2)*0.94,2)</f>
        <v>#DIV/0!</v>
      </c>
      <c r="P54" s="10" t="e">
        <f>ROUND(ROUND(F54*0.84/KÄYTTÖTAULU!$I$8*12/38,2)*0.94,2)</f>
        <v>#DIV/0!</v>
      </c>
      <c r="Q54" s="10"/>
      <c r="R54" s="17">
        <v>0</v>
      </c>
      <c r="S54" s="1">
        <v>4</v>
      </c>
      <c r="T54" s="1">
        <v>3</v>
      </c>
      <c r="U54" s="1">
        <v>6</v>
      </c>
      <c r="V54" s="1">
        <v>6</v>
      </c>
      <c r="W54" s="40">
        <v>6</v>
      </c>
      <c r="X54" s="1">
        <v>1</v>
      </c>
      <c r="Y54" s="1">
        <f t="shared" si="0"/>
        <v>1.04</v>
      </c>
      <c r="Z54" s="1">
        <f t="shared" si="1"/>
        <v>1.0712000000000002</v>
      </c>
      <c r="AA54" s="1">
        <f t="shared" si="2"/>
        <v>1.1354720000000003</v>
      </c>
      <c r="AB54" s="1">
        <f t="shared" si="19"/>
        <v>1.2036003200000003</v>
      </c>
      <c r="AC54" s="40">
        <f t="shared" si="4"/>
        <v>1.2758163392000004</v>
      </c>
      <c r="AE54" s="1">
        <v>0</v>
      </c>
      <c r="AF54" s="1">
        <v>4</v>
      </c>
      <c r="AG54" s="1">
        <v>4</v>
      </c>
      <c r="AH54" s="1">
        <v>6</v>
      </c>
      <c r="AI54" s="1">
        <v>6</v>
      </c>
      <c r="AJ54" s="1">
        <v>6</v>
      </c>
      <c r="AL54" s="1">
        <f t="shared" si="3"/>
        <v>1</v>
      </c>
    </row>
    <row r="55" spans="1:38" x14ac:dyDescent="0.3">
      <c r="A55" s="1">
        <v>50</v>
      </c>
      <c r="B55" s="9" t="s">
        <v>268</v>
      </c>
      <c r="C55" s="160">
        <f>VLOOKUP(MID(B55,1,8)-0,'1.6.2024'!$B$9:$G$160,3,FALSE)</f>
        <v>2957.5</v>
      </c>
      <c r="D55" s="160">
        <f>VLOOKUP(MID(B55,1,8)-0,'1.6.2024'!$B$9:$G$160,5,FALSE)</f>
        <v>2929.54</v>
      </c>
      <c r="E55" s="10">
        <f>IF('muut muuttujat'!$G$3=1,C55,KÄYTTÖTAULU!$B$13)</f>
        <v>2957.5</v>
      </c>
      <c r="F55" s="10">
        <f>IF('muut muuttujat'!$G$3=1,D55,KÄYTTÖTAULU!$B$13)</f>
        <v>2929.54</v>
      </c>
      <c r="G55" s="10">
        <f>KÄYTTÖTAULU!$F$6</f>
        <v>0</v>
      </c>
      <c r="H55" s="10">
        <f>KÄYTTÖTAULU!$F$6</f>
        <v>0</v>
      </c>
      <c r="I55" s="10">
        <f t="shared" si="20"/>
        <v>0</v>
      </c>
      <c r="J55" s="10">
        <f t="shared" si="21"/>
        <v>0</v>
      </c>
      <c r="K55" s="1" t="e">
        <f>ROUND(I55/KÄYTTÖTAULU!$I$8,2)</f>
        <v>#DIV/0!</v>
      </c>
      <c r="L55" s="1" t="e">
        <f>ROUND(J55/KÄYTTÖTAULU!$I$8,2)</f>
        <v>#DIV/0!</v>
      </c>
      <c r="M55" s="1" t="e">
        <f t="shared" si="17"/>
        <v>#DIV/0!</v>
      </c>
      <c r="N55" s="1" t="e">
        <f t="shared" si="18"/>
        <v>#DIV/0!</v>
      </c>
      <c r="O55" s="10" t="e">
        <f>ROUND(ROUND(E55*0.84/KÄYTTÖTAULU!$I$8*12/38,2)*0.94,2)</f>
        <v>#DIV/0!</v>
      </c>
      <c r="P55" s="10" t="e">
        <f>ROUND(ROUND(F55*0.84/KÄYTTÖTAULU!$I$8*12/38,2)*0.94,2)</f>
        <v>#DIV/0!</v>
      </c>
      <c r="Q55" s="10"/>
      <c r="R55" s="17">
        <v>0</v>
      </c>
      <c r="S55" s="1">
        <v>4</v>
      </c>
      <c r="T55" s="1">
        <v>3</v>
      </c>
      <c r="U55" s="1">
        <v>6</v>
      </c>
      <c r="V55" s="1">
        <v>6</v>
      </c>
      <c r="W55" s="40">
        <v>6</v>
      </c>
      <c r="X55" s="1">
        <v>1</v>
      </c>
      <c r="Y55" s="1">
        <f t="shared" si="0"/>
        <v>1.04</v>
      </c>
      <c r="Z55" s="1">
        <f t="shared" si="1"/>
        <v>1.0712000000000002</v>
      </c>
      <c r="AA55" s="1">
        <f t="shared" si="2"/>
        <v>1.1354720000000003</v>
      </c>
      <c r="AB55" s="1">
        <f t="shared" si="19"/>
        <v>1.2036003200000003</v>
      </c>
      <c r="AC55" s="40">
        <f t="shared" si="4"/>
        <v>1.2758163392000004</v>
      </c>
      <c r="AE55" s="1">
        <v>0</v>
      </c>
      <c r="AF55" s="1">
        <v>4</v>
      </c>
      <c r="AG55" s="1">
        <v>4</v>
      </c>
      <c r="AH55" s="1">
        <v>6</v>
      </c>
      <c r="AI55" s="1">
        <v>6</v>
      </c>
      <c r="AJ55" s="1">
        <v>6</v>
      </c>
      <c r="AL55" s="1">
        <f t="shared" si="3"/>
        <v>1</v>
      </c>
    </row>
    <row r="56" spans="1:38" x14ac:dyDescent="0.3">
      <c r="A56" s="1">
        <v>51</v>
      </c>
      <c r="B56" s="9" t="s">
        <v>269</v>
      </c>
      <c r="C56" s="160">
        <f>VLOOKUP(MID(B56,1,8)-0,'1.6.2024'!$B$9:$G$160,3,FALSE)</f>
        <v>2592.35</v>
      </c>
      <c r="D56" s="160">
        <f>VLOOKUP(MID(B56,1,8)-0,'1.6.2024'!$B$9:$G$160,5,FALSE)</f>
        <v>2567.83</v>
      </c>
      <c r="E56" s="10">
        <f>IF('muut muuttujat'!$G$3=1,C56,KÄYTTÖTAULU!$B$13)</f>
        <v>2592.35</v>
      </c>
      <c r="F56" s="10">
        <f>IF('muut muuttujat'!$G$3=1,D56,KÄYTTÖTAULU!$B$13)</f>
        <v>2567.83</v>
      </c>
      <c r="G56" s="10">
        <f>KÄYTTÖTAULU!$F$6</f>
        <v>0</v>
      </c>
      <c r="H56" s="10">
        <f>KÄYTTÖTAULU!$F$6</f>
        <v>0</v>
      </c>
      <c r="I56" s="10">
        <f t="shared" si="20"/>
        <v>0</v>
      </c>
      <c r="J56" s="10">
        <f t="shared" si="21"/>
        <v>0</v>
      </c>
      <c r="K56" s="1" t="e">
        <f>ROUND(I56/KÄYTTÖTAULU!$I$8,2)</f>
        <v>#DIV/0!</v>
      </c>
      <c r="L56" s="1" t="e">
        <f>ROUND(J56/KÄYTTÖTAULU!$I$8,2)</f>
        <v>#DIV/0!</v>
      </c>
      <c r="M56" s="1" t="e">
        <f t="shared" si="17"/>
        <v>#DIV/0!</v>
      </c>
      <c r="N56" s="1" t="e">
        <f t="shared" si="18"/>
        <v>#DIV/0!</v>
      </c>
      <c r="O56" s="10" t="e">
        <f>ROUND(ROUND(E56*0.84/KÄYTTÖTAULU!$I$8*12/38,2)*0.94,2)</f>
        <v>#DIV/0!</v>
      </c>
      <c r="P56" s="10" t="e">
        <f>ROUND(ROUND(F56*0.84/KÄYTTÖTAULU!$I$8*12/38,2)*0.94,2)</f>
        <v>#DIV/0!</v>
      </c>
      <c r="Q56" s="10"/>
      <c r="R56" s="17">
        <v>0</v>
      </c>
      <c r="S56" s="1">
        <v>4</v>
      </c>
      <c r="T56" s="1">
        <v>3</v>
      </c>
      <c r="U56" s="1">
        <v>6</v>
      </c>
      <c r="V56" s="1">
        <v>6</v>
      </c>
      <c r="W56" s="40">
        <v>6</v>
      </c>
      <c r="X56" s="1">
        <v>1</v>
      </c>
      <c r="Y56" s="1">
        <f t="shared" si="0"/>
        <v>1.04</v>
      </c>
      <c r="Z56" s="1">
        <f t="shared" si="1"/>
        <v>1.0712000000000002</v>
      </c>
      <c r="AA56" s="1">
        <f t="shared" si="2"/>
        <v>1.1354720000000003</v>
      </c>
      <c r="AB56" s="1">
        <f t="shared" si="19"/>
        <v>1.2036003200000003</v>
      </c>
      <c r="AC56" s="40">
        <f t="shared" si="4"/>
        <v>1.2758163392000004</v>
      </c>
      <c r="AE56" s="1">
        <v>0</v>
      </c>
      <c r="AF56" s="1">
        <v>4</v>
      </c>
      <c r="AG56" s="1">
        <v>4</v>
      </c>
      <c r="AH56" s="1">
        <v>6</v>
      </c>
      <c r="AI56" s="1">
        <v>6</v>
      </c>
      <c r="AJ56" s="1">
        <v>6</v>
      </c>
      <c r="AL56" s="1">
        <f t="shared" si="3"/>
        <v>1</v>
      </c>
    </row>
    <row r="57" spans="1:38" x14ac:dyDescent="0.3">
      <c r="A57" s="1">
        <v>52</v>
      </c>
      <c r="B57" s="9" t="s">
        <v>270</v>
      </c>
      <c r="C57" s="160">
        <f>VLOOKUP(MID(B57,1,8)-0,'1.6.2024'!$B$9:$G$160,3,FALSE)</f>
        <v>2481.37</v>
      </c>
      <c r="D57" s="160">
        <f>VLOOKUP(MID(B57,1,8)-0,'1.6.2024'!$B$9:$G$160,5,FALSE)</f>
        <v>2457.9</v>
      </c>
      <c r="E57" s="10">
        <f>IF('muut muuttujat'!$G$3=1,C57,KÄYTTÖTAULU!$B$13)</f>
        <v>2481.37</v>
      </c>
      <c r="F57" s="10">
        <f>IF('muut muuttujat'!$G$3=1,D57,KÄYTTÖTAULU!$B$13)</f>
        <v>2457.9</v>
      </c>
      <c r="G57" s="10">
        <f>KÄYTTÖTAULU!$F$6</f>
        <v>0</v>
      </c>
      <c r="H57" s="10">
        <f>KÄYTTÖTAULU!$F$6</f>
        <v>0</v>
      </c>
      <c r="I57" s="10">
        <f t="shared" si="20"/>
        <v>0</v>
      </c>
      <c r="J57" s="10">
        <f t="shared" si="21"/>
        <v>0</v>
      </c>
      <c r="K57" s="1" t="e">
        <f>ROUND(I57/KÄYTTÖTAULU!$I$8,2)</f>
        <v>#DIV/0!</v>
      </c>
      <c r="L57" s="1" t="e">
        <f>ROUND(J57/KÄYTTÖTAULU!$I$8,2)</f>
        <v>#DIV/0!</v>
      </c>
      <c r="M57" s="1" t="e">
        <f t="shared" si="17"/>
        <v>#DIV/0!</v>
      </c>
      <c r="N57" s="1" t="e">
        <f t="shared" si="18"/>
        <v>#DIV/0!</v>
      </c>
      <c r="O57" s="10" t="e">
        <f>ROUND(ROUND(E57*0.84/KÄYTTÖTAULU!$I$8*12/38,2)*0.94,2)</f>
        <v>#DIV/0!</v>
      </c>
      <c r="P57" s="10" t="e">
        <f>ROUND(ROUND(F57*0.84/KÄYTTÖTAULU!$I$8*12/38,2)*0.94,2)</f>
        <v>#DIV/0!</v>
      </c>
      <c r="Q57" s="10"/>
      <c r="R57" s="17">
        <v>0</v>
      </c>
      <c r="S57" s="1">
        <v>4</v>
      </c>
      <c r="T57" s="1">
        <v>3</v>
      </c>
      <c r="U57" s="1">
        <v>6</v>
      </c>
      <c r="V57" s="1">
        <v>6</v>
      </c>
      <c r="W57" s="40">
        <v>6</v>
      </c>
      <c r="X57" s="1">
        <v>1</v>
      </c>
      <c r="Y57" s="1">
        <f t="shared" si="0"/>
        <v>1.04</v>
      </c>
      <c r="Z57" s="1">
        <f t="shared" si="1"/>
        <v>1.0712000000000002</v>
      </c>
      <c r="AA57" s="1">
        <f t="shared" si="2"/>
        <v>1.1354720000000003</v>
      </c>
      <c r="AB57" s="1">
        <f t="shared" si="19"/>
        <v>1.2036003200000003</v>
      </c>
      <c r="AC57" s="40">
        <f t="shared" si="4"/>
        <v>1.2758163392000004</v>
      </c>
      <c r="AE57" s="1">
        <v>0</v>
      </c>
      <c r="AF57" s="1">
        <v>4</v>
      </c>
      <c r="AG57" s="1">
        <v>4</v>
      </c>
      <c r="AH57" s="1">
        <v>6</v>
      </c>
      <c r="AI57" s="1">
        <v>6</v>
      </c>
      <c r="AJ57" s="1">
        <v>6</v>
      </c>
      <c r="AL57" s="1">
        <f t="shared" si="3"/>
        <v>1</v>
      </c>
    </row>
    <row r="58" spans="1:38" x14ac:dyDescent="0.3">
      <c r="A58" s="1">
        <v>53</v>
      </c>
      <c r="B58" s="9" t="s">
        <v>271</v>
      </c>
      <c r="C58" s="160">
        <f>VLOOKUP(MID(B58,1,8)-0,'1.6.2024'!$B$9:$G$160,3,FALSE)</f>
        <v>2347.37</v>
      </c>
      <c r="D58" s="160">
        <f>VLOOKUP(MID(B58,1,8)-0,'1.6.2024'!$B$9:$G$160,5,FALSE)</f>
        <v>2325.64</v>
      </c>
      <c r="E58" s="10">
        <f>IF('muut muuttujat'!$G$3=1,C58,KÄYTTÖTAULU!$B$13)</f>
        <v>2347.37</v>
      </c>
      <c r="F58" s="10">
        <f>IF('muut muuttujat'!$G$3=1,D58,KÄYTTÖTAULU!$B$13)</f>
        <v>2325.64</v>
      </c>
      <c r="G58" s="10">
        <f>KÄYTTÖTAULU!$F$6</f>
        <v>0</v>
      </c>
      <c r="H58" s="10">
        <f>KÄYTTÖTAULU!$F$6</f>
        <v>0</v>
      </c>
      <c r="I58" s="10">
        <f t="shared" si="20"/>
        <v>0</v>
      </c>
      <c r="J58" s="10">
        <f t="shared" si="21"/>
        <v>0</v>
      </c>
      <c r="K58" s="1" t="e">
        <f>ROUND(I58/KÄYTTÖTAULU!$I$8,2)</f>
        <v>#DIV/0!</v>
      </c>
      <c r="L58" s="1" t="e">
        <f>ROUND(J58/KÄYTTÖTAULU!$I$8,2)</f>
        <v>#DIV/0!</v>
      </c>
      <c r="M58" s="1" t="e">
        <f t="shared" si="17"/>
        <v>#DIV/0!</v>
      </c>
      <c r="N58" s="1" t="e">
        <f t="shared" si="18"/>
        <v>#DIV/0!</v>
      </c>
      <c r="O58" s="10" t="e">
        <f>ROUND(ROUND(E58*0.84/KÄYTTÖTAULU!$I$8*12/38,2)*0.94,2)</f>
        <v>#DIV/0!</v>
      </c>
      <c r="P58" s="10" t="e">
        <f>ROUND(ROUND(F58*0.84/KÄYTTÖTAULU!$I$8*12/38,2)*0.94,2)</f>
        <v>#DIV/0!</v>
      </c>
      <c r="Q58" s="10"/>
      <c r="R58" s="17">
        <v>0</v>
      </c>
      <c r="S58" s="1">
        <v>4</v>
      </c>
      <c r="T58" s="1">
        <v>3</v>
      </c>
      <c r="U58" s="1">
        <v>6</v>
      </c>
      <c r="V58" s="1">
        <v>6</v>
      </c>
      <c r="W58" s="40">
        <v>6</v>
      </c>
      <c r="X58" s="1">
        <v>1</v>
      </c>
      <c r="Y58" s="1">
        <f t="shared" si="0"/>
        <v>1.04</v>
      </c>
      <c r="Z58" s="1">
        <f t="shared" si="1"/>
        <v>1.0712000000000002</v>
      </c>
      <c r="AA58" s="1">
        <f t="shared" si="2"/>
        <v>1.1354720000000003</v>
      </c>
      <c r="AB58" s="1">
        <f t="shared" si="19"/>
        <v>1.2036003200000003</v>
      </c>
      <c r="AC58" s="40">
        <f t="shared" si="4"/>
        <v>1.2758163392000004</v>
      </c>
      <c r="AE58" s="1">
        <v>0</v>
      </c>
      <c r="AF58" s="1">
        <v>4</v>
      </c>
      <c r="AG58" s="1">
        <v>4</v>
      </c>
      <c r="AH58" s="1">
        <v>6</v>
      </c>
      <c r="AI58" s="1">
        <v>6</v>
      </c>
      <c r="AJ58" s="1">
        <v>6</v>
      </c>
      <c r="AL58" s="1">
        <f t="shared" si="3"/>
        <v>1</v>
      </c>
    </row>
    <row r="59" spans="1:38" x14ac:dyDescent="0.3">
      <c r="A59" s="1">
        <v>54</v>
      </c>
      <c r="B59" s="9" t="s">
        <v>272</v>
      </c>
      <c r="C59" s="160">
        <f>VLOOKUP(MID(B59,1,8)-0,'1.6.2024'!$B$9:$G$160,3,FALSE)</f>
        <v>3194.39</v>
      </c>
      <c r="D59" s="160">
        <f>VLOOKUP(MID(B59,1,8)-0,'1.6.2024'!$B$9:$G$160,5,FALSE)</f>
        <v>3164.17</v>
      </c>
      <c r="E59" s="10">
        <f>IF('muut muuttujat'!$G$3=1,C59,KÄYTTÖTAULU!$B$13)</f>
        <v>3194.39</v>
      </c>
      <c r="F59" s="10">
        <f>IF('muut muuttujat'!$G$3=1,D59,KÄYTTÖTAULU!$B$13)</f>
        <v>3164.17</v>
      </c>
      <c r="G59" s="10">
        <f>KÄYTTÖTAULU!$F$6</f>
        <v>0</v>
      </c>
      <c r="H59" s="10">
        <f>KÄYTTÖTAULU!$F$6</f>
        <v>0</v>
      </c>
      <c r="I59" s="10">
        <f t="shared" si="20"/>
        <v>0</v>
      </c>
      <c r="J59" s="10">
        <f t="shared" si="21"/>
        <v>0</v>
      </c>
      <c r="K59" s="1" t="e">
        <f>ROUND(I59/KÄYTTÖTAULU!$I$8,2)</f>
        <v>#DIV/0!</v>
      </c>
      <c r="L59" s="1" t="e">
        <f>ROUND(J59/KÄYTTÖTAULU!$I$8,2)</f>
        <v>#DIV/0!</v>
      </c>
      <c r="M59" s="1" t="e">
        <f t="shared" si="17"/>
        <v>#DIV/0!</v>
      </c>
      <c r="N59" s="1" t="e">
        <f t="shared" si="18"/>
        <v>#DIV/0!</v>
      </c>
      <c r="O59" s="10" t="e">
        <f>ROUND(ROUND(E59*0.84/KÄYTTÖTAULU!$I$8*12/38,2)*0.94,2)</f>
        <v>#DIV/0!</v>
      </c>
      <c r="P59" s="10" t="e">
        <f>ROUND(ROUND(F59*0.84/KÄYTTÖTAULU!$I$8*12/38,2)*0.94,2)</f>
        <v>#DIV/0!</v>
      </c>
      <c r="Q59" s="10"/>
      <c r="R59" s="17">
        <v>0</v>
      </c>
      <c r="S59" s="1">
        <v>4</v>
      </c>
      <c r="T59" s="1">
        <v>3</v>
      </c>
      <c r="U59" s="1">
        <v>6</v>
      </c>
      <c r="V59" s="1">
        <v>6</v>
      </c>
      <c r="W59" s="40">
        <v>6</v>
      </c>
      <c r="X59" s="1">
        <v>1</v>
      </c>
      <c r="Y59" s="1">
        <f t="shared" si="0"/>
        <v>1.04</v>
      </c>
      <c r="Z59" s="1">
        <f t="shared" si="1"/>
        <v>1.0712000000000002</v>
      </c>
      <c r="AA59" s="1">
        <f t="shared" si="2"/>
        <v>1.1354720000000003</v>
      </c>
      <c r="AB59" s="1">
        <f t="shared" si="19"/>
        <v>1.2036003200000003</v>
      </c>
      <c r="AC59" s="40">
        <f t="shared" si="4"/>
        <v>1.2758163392000004</v>
      </c>
      <c r="AE59" s="1">
        <v>0</v>
      </c>
      <c r="AF59" s="1">
        <v>4</v>
      </c>
      <c r="AG59" s="1">
        <v>4</v>
      </c>
      <c r="AH59" s="1">
        <v>6</v>
      </c>
      <c r="AI59" s="1">
        <v>6</v>
      </c>
      <c r="AJ59" s="1">
        <v>6</v>
      </c>
      <c r="AL59" s="1">
        <f t="shared" si="3"/>
        <v>1</v>
      </c>
    </row>
    <row r="60" spans="1:38" x14ac:dyDescent="0.3">
      <c r="A60" s="1">
        <v>55</v>
      </c>
      <c r="B60" s="9" t="s">
        <v>273</v>
      </c>
      <c r="C60" s="160">
        <f>VLOOKUP(MID(B60,1,8)-0,'1.6.2024'!$B$9:$G$160,3,FALSE)</f>
        <v>3082.7</v>
      </c>
      <c r="D60" s="160">
        <f>VLOOKUP(MID(B60,1,8)-0,'1.6.2024'!$B$9:$G$160,5,FALSE)</f>
        <v>3053.53</v>
      </c>
      <c r="E60" s="10">
        <f>IF('muut muuttujat'!$G$3=1,C60,KÄYTTÖTAULU!$B$13)</f>
        <v>3082.7</v>
      </c>
      <c r="F60" s="10">
        <f>IF('muut muuttujat'!$G$3=1,D60,KÄYTTÖTAULU!$B$13)</f>
        <v>3053.53</v>
      </c>
      <c r="G60" s="10">
        <f>KÄYTTÖTAULU!$F$6</f>
        <v>0</v>
      </c>
      <c r="H60" s="10">
        <f>KÄYTTÖTAULU!$F$6</f>
        <v>0</v>
      </c>
      <c r="I60" s="10">
        <f t="shared" si="20"/>
        <v>0</v>
      </c>
      <c r="J60" s="10">
        <f t="shared" si="21"/>
        <v>0</v>
      </c>
      <c r="K60" s="1" t="e">
        <f>ROUND(I60/KÄYTTÖTAULU!$I$8,2)</f>
        <v>#DIV/0!</v>
      </c>
      <c r="L60" s="1" t="e">
        <f>ROUND(J60/KÄYTTÖTAULU!$I$8,2)</f>
        <v>#DIV/0!</v>
      </c>
      <c r="M60" s="1" t="e">
        <f t="shared" si="17"/>
        <v>#DIV/0!</v>
      </c>
      <c r="N60" s="1" t="e">
        <f t="shared" si="18"/>
        <v>#DIV/0!</v>
      </c>
      <c r="O60" s="10" t="e">
        <f>ROUND(ROUND(E60*0.84/KÄYTTÖTAULU!$I$8*12/38,2)*0.94,2)</f>
        <v>#DIV/0!</v>
      </c>
      <c r="P60" s="10" t="e">
        <f>ROUND(ROUND(F60*0.84/KÄYTTÖTAULU!$I$8*12/38,2)*0.94,2)</f>
        <v>#DIV/0!</v>
      </c>
      <c r="Q60" s="10"/>
      <c r="R60" s="17">
        <v>0</v>
      </c>
      <c r="S60" s="1">
        <v>4</v>
      </c>
      <c r="T60" s="1">
        <v>3</v>
      </c>
      <c r="U60" s="1">
        <v>6</v>
      </c>
      <c r="V60" s="1">
        <v>6</v>
      </c>
      <c r="W60" s="40">
        <v>6</v>
      </c>
      <c r="X60" s="1">
        <v>1</v>
      </c>
      <c r="Y60" s="1">
        <f t="shared" si="0"/>
        <v>1.04</v>
      </c>
      <c r="Z60" s="1">
        <f t="shared" si="1"/>
        <v>1.0712000000000002</v>
      </c>
      <c r="AA60" s="1">
        <f t="shared" si="2"/>
        <v>1.1354720000000003</v>
      </c>
      <c r="AB60" s="1">
        <f t="shared" si="19"/>
        <v>1.2036003200000003</v>
      </c>
      <c r="AC60" s="40">
        <f t="shared" si="4"/>
        <v>1.2758163392000004</v>
      </c>
      <c r="AE60" s="1">
        <v>0</v>
      </c>
      <c r="AF60" s="1">
        <v>4</v>
      </c>
      <c r="AG60" s="1">
        <v>4</v>
      </c>
      <c r="AH60" s="1">
        <v>6</v>
      </c>
      <c r="AI60" s="1">
        <v>6</v>
      </c>
      <c r="AJ60" s="1">
        <v>6</v>
      </c>
      <c r="AL60" s="1">
        <f t="shared" si="3"/>
        <v>1</v>
      </c>
    </row>
    <row r="61" spans="1:38" x14ac:dyDescent="0.3">
      <c r="A61" s="1">
        <v>56</v>
      </c>
      <c r="B61" s="9" t="s">
        <v>274</v>
      </c>
      <c r="C61" s="160">
        <f>VLOOKUP(MID(B61,1,8)-0,'1.6.2024'!$B$9:$G$160,3,FALSE)</f>
        <v>2983.87</v>
      </c>
      <c r="D61" s="160">
        <f>VLOOKUP(MID(B61,1,8)-0,'1.6.2024'!$B$9:$G$160,5,FALSE)</f>
        <v>2955.62</v>
      </c>
      <c r="E61" s="10">
        <f>IF('muut muuttujat'!$G$3=1,C61,KÄYTTÖTAULU!$B$13)</f>
        <v>2983.87</v>
      </c>
      <c r="F61" s="10">
        <f>IF('muut muuttujat'!$G$3=1,D61,KÄYTTÖTAULU!$B$13)</f>
        <v>2955.62</v>
      </c>
      <c r="G61" s="10">
        <f>KÄYTTÖTAULU!$F$6</f>
        <v>0</v>
      </c>
      <c r="H61" s="10">
        <f>KÄYTTÖTAULU!$F$6</f>
        <v>0</v>
      </c>
      <c r="I61" s="10">
        <f t="shared" si="20"/>
        <v>0</v>
      </c>
      <c r="J61" s="10">
        <f t="shared" si="21"/>
        <v>0</v>
      </c>
      <c r="K61" s="1" t="e">
        <f>ROUND(I61/KÄYTTÖTAULU!$I$8,2)</f>
        <v>#DIV/0!</v>
      </c>
      <c r="L61" s="1" t="e">
        <f>ROUND(J61/KÄYTTÖTAULU!$I$8,2)</f>
        <v>#DIV/0!</v>
      </c>
      <c r="M61" s="1" t="e">
        <f t="shared" si="17"/>
        <v>#DIV/0!</v>
      </c>
      <c r="N61" s="1" t="e">
        <f t="shared" si="18"/>
        <v>#DIV/0!</v>
      </c>
      <c r="O61" s="10" t="e">
        <f>ROUND(ROUND(E61*0.84/KÄYTTÖTAULU!$I$8*12/38,2)*0.94,2)</f>
        <v>#DIV/0!</v>
      </c>
      <c r="P61" s="10" t="e">
        <f>ROUND(ROUND(F61*0.84/KÄYTTÖTAULU!$I$8*12/38,2)*0.94,2)</f>
        <v>#DIV/0!</v>
      </c>
      <c r="Q61" s="10"/>
      <c r="R61" s="17">
        <v>0</v>
      </c>
      <c r="S61" s="1">
        <v>4</v>
      </c>
      <c r="T61" s="1">
        <v>3</v>
      </c>
      <c r="U61" s="1">
        <v>6</v>
      </c>
      <c r="V61" s="1">
        <v>6</v>
      </c>
      <c r="W61" s="40">
        <v>6</v>
      </c>
      <c r="X61" s="1">
        <v>1</v>
      </c>
      <c r="Y61" s="1">
        <f t="shared" si="0"/>
        <v>1.04</v>
      </c>
      <c r="Z61" s="1">
        <f t="shared" si="1"/>
        <v>1.0712000000000002</v>
      </c>
      <c r="AA61" s="1">
        <f t="shared" si="2"/>
        <v>1.1354720000000003</v>
      </c>
      <c r="AB61" s="1">
        <f t="shared" si="19"/>
        <v>1.2036003200000003</v>
      </c>
      <c r="AC61" s="40">
        <f t="shared" si="4"/>
        <v>1.2758163392000004</v>
      </c>
      <c r="AE61" s="1">
        <v>0</v>
      </c>
      <c r="AF61" s="1">
        <v>4</v>
      </c>
      <c r="AG61" s="1">
        <v>4</v>
      </c>
      <c r="AH61" s="1">
        <v>6</v>
      </c>
      <c r="AI61" s="1">
        <v>6</v>
      </c>
      <c r="AJ61" s="1">
        <v>6</v>
      </c>
      <c r="AL61" s="1">
        <f t="shared" si="3"/>
        <v>1</v>
      </c>
    </row>
    <row r="62" spans="1:38" x14ac:dyDescent="0.3">
      <c r="A62" s="1">
        <v>57</v>
      </c>
      <c r="B62" s="9" t="s">
        <v>275</v>
      </c>
      <c r="C62" s="160">
        <f>VLOOKUP(MID(B62,1,8)-0,'1.6.2024'!$B$9:$G$160,3,FALSE)</f>
        <v>2937.34</v>
      </c>
      <c r="D62" s="160">
        <f>VLOOKUP(MID(B62,1,8)-0,'1.6.2024'!$B$9:$G$160,5,FALSE)</f>
        <v>2909.58</v>
      </c>
      <c r="E62" s="10">
        <f>IF('muut muuttujat'!$G$3=1,C62,KÄYTTÖTAULU!$B$13)</f>
        <v>2937.34</v>
      </c>
      <c r="F62" s="10">
        <f>IF('muut muuttujat'!$G$3=1,D62,KÄYTTÖTAULU!$B$13)</f>
        <v>2909.58</v>
      </c>
      <c r="G62" s="10">
        <f>KÄYTTÖTAULU!$F$6</f>
        <v>0</v>
      </c>
      <c r="H62" s="10">
        <f>KÄYTTÖTAULU!$F$6</f>
        <v>0</v>
      </c>
      <c r="I62" s="10">
        <f t="shared" si="20"/>
        <v>0</v>
      </c>
      <c r="J62" s="10">
        <f t="shared" si="21"/>
        <v>0</v>
      </c>
      <c r="K62" s="1" t="e">
        <f>ROUND(I62/KÄYTTÖTAULU!$I$8,2)</f>
        <v>#DIV/0!</v>
      </c>
      <c r="L62" s="1" t="e">
        <f>ROUND(J62/KÄYTTÖTAULU!$I$8,2)</f>
        <v>#DIV/0!</v>
      </c>
      <c r="M62" s="1" t="e">
        <f t="shared" si="17"/>
        <v>#DIV/0!</v>
      </c>
      <c r="N62" s="1" t="e">
        <f t="shared" si="18"/>
        <v>#DIV/0!</v>
      </c>
      <c r="O62" s="10" t="e">
        <f>ROUND(ROUND(E62*0.84/KÄYTTÖTAULU!$I$8*12/38,2)*0.94,2)</f>
        <v>#DIV/0!</v>
      </c>
      <c r="P62" s="10" t="e">
        <f>ROUND(ROUND(F62*0.84/KÄYTTÖTAULU!$I$8*12/38,2)*0.94,2)</f>
        <v>#DIV/0!</v>
      </c>
      <c r="Q62" s="10"/>
      <c r="R62" s="17">
        <v>0</v>
      </c>
      <c r="S62" s="1">
        <v>4</v>
      </c>
      <c r="T62" s="1">
        <v>3</v>
      </c>
      <c r="U62" s="1">
        <v>6</v>
      </c>
      <c r="V62" s="1">
        <v>6</v>
      </c>
      <c r="W62" s="40">
        <v>6</v>
      </c>
      <c r="X62" s="1">
        <v>1</v>
      </c>
      <c r="Y62" s="1">
        <f t="shared" si="0"/>
        <v>1.04</v>
      </c>
      <c r="Z62" s="1">
        <f t="shared" si="1"/>
        <v>1.0712000000000002</v>
      </c>
      <c r="AA62" s="1">
        <f t="shared" si="2"/>
        <v>1.1354720000000003</v>
      </c>
      <c r="AB62" s="1">
        <f t="shared" si="19"/>
        <v>1.2036003200000003</v>
      </c>
      <c r="AC62" s="40">
        <f t="shared" si="4"/>
        <v>1.2758163392000004</v>
      </c>
      <c r="AE62" s="1">
        <v>0</v>
      </c>
      <c r="AF62" s="1">
        <v>4</v>
      </c>
      <c r="AG62" s="1">
        <v>4</v>
      </c>
      <c r="AH62" s="1">
        <v>6</v>
      </c>
      <c r="AI62" s="1">
        <v>6</v>
      </c>
      <c r="AJ62" s="1">
        <v>6</v>
      </c>
      <c r="AL62" s="1">
        <f t="shared" si="3"/>
        <v>1</v>
      </c>
    </row>
    <row r="63" spans="1:38" x14ac:dyDescent="0.3">
      <c r="A63" s="1">
        <v>58</v>
      </c>
      <c r="B63" s="9" t="s">
        <v>276</v>
      </c>
      <c r="C63" s="160">
        <f>VLOOKUP(MID(B63,1,8)-0,'1.6.2024'!$B$9:$G$160,3,FALSE)</f>
        <v>2815.17</v>
      </c>
      <c r="D63" s="160">
        <f>VLOOKUP(MID(B63,1,8)-0,'1.6.2024'!$B$9:$G$160,5,FALSE)</f>
        <v>2788.6</v>
      </c>
      <c r="E63" s="10">
        <f>IF('muut muuttujat'!$G$3=1,C63,KÄYTTÖTAULU!$B$13)</f>
        <v>2815.17</v>
      </c>
      <c r="F63" s="10">
        <f>IF('muut muuttujat'!$G$3=1,D63,KÄYTTÖTAULU!$B$13)</f>
        <v>2788.6</v>
      </c>
      <c r="G63" s="10">
        <f>KÄYTTÖTAULU!$F$6</f>
        <v>0</v>
      </c>
      <c r="H63" s="10">
        <f>KÄYTTÖTAULU!$F$6</f>
        <v>0</v>
      </c>
      <c r="I63" s="10">
        <f t="shared" si="20"/>
        <v>0</v>
      </c>
      <c r="J63" s="10">
        <f t="shared" si="21"/>
        <v>0</v>
      </c>
      <c r="K63" s="1" t="e">
        <f>ROUND(I63/KÄYTTÖTAULU!$I$8,2)</f>
        <v>#DIV/0!</v>
      </c>
      <c r="L63" s="1" t="e">
        <f>ROUND(J63/KÄYTTÖTAULU!$I$8,2)</f>
        <v>#DIV/0!</v>
      </c>
      <c r="M63" s="1" t="e">
        <f t="shared" si="17"/>
        <v>#DIV/0!</v>
      </c>
      <c r="N63" s="1" t="e">
        <f t="shared" si="18"/>
        <v>#DIV/0!</v>
      </c>
      <c r="O63" s="10" t="e">
        <f>ROUND(ROUND(E63*0.84/KÄYTTÖTAULU!$I$8*12/38,2)*0.94,2)</f>
        <v>#DIV/0!</v>
      </c>
      <c r="P63" s="10" t="e">
        <f>ROUND(ROUND(F63*0.84/KÄYTTÖTAULU!$I$8*12/38,2)*0.94,2)</f>
        <v>#DIV/0!</v>
      </c>
      <c r="Q63" s="10"/>
      <c r="R63" s="17">
        <v>0</v>
      </c>
      <c r="S63" s="1">
        <v>4</v>
      </c>
      <c r="T63" s="1">
        <v>3</v>
      </c>
      <c r="U63" s="1">
        <v>6</v>
      </c>
      <c r="V63" s="1">
        <v>6</v>
      </c>
      <c r="W63" s="40">
        <v>6</v>
      </c>
      <c r="X63" s="1">
        <v>1</v>
      </c>
      <c r="Y63" s="1">
        <f t="shared" si="0"/>
        <v>1.04</v>
      </c>
      <c r="Z63" s="1">
        <f t="shared" si="1"/>
        <v>1.0712000000000002</v>
      </c>
      <c r="AA63" s="1">
        <f t="shared" si="2"/>
        <v>1.1354720000000003</v>
      </c>
      <c r="AB63" s="1">
        <f t="shared" si="19"/>
        <v>1.2036003200000003</v>
      </c>
      <c r="AC63" s="40">
        <f t="shared" si="4"/>
        <v>1.2758163392000004</v>
      </c>
      <c r="AE63" s="1">
        <v>0</v>
      </c>
      <c r="AF63" s="1">
        <v>4</v>
      </c>
      <c r="AG63" s="1">
        <v>4</v>
      </c>
      <c r="AH63" s="1">
        <v>6</v>
      </c>
      <c r="AI63" s="1">
        <v>6</v>
      </c>
      <c r="AJ63" s="1">
        <v>6</v>
      </c>
      <c r="AL63" s="1">
        <f t="shared" si="3"/>
        <v>1</v>
      </c>
    </row>
    <row r="64" spans="1:38" x14ac:dyDescent="0.3">
      <c r="A64" s="1">
        <v>59</v>
      </c>
      <c r="B64" s="9" t="s">
        <v>277</v>
      </c>
      <c r="C64" s="160">
        <f>VLOOKUP(MID(B64,1,8)-0,'1.6.2024'!$B$9:$G$160,3,FALSE)</f>
        <v>2460.56</v>
      </c>
      <c r="D64" s="160">
        <f>VLOOKUP(MID(B64,1,8)-0,'1.6.2024'!$B$9:$G$160,5,FALSE)</f>
        <v>2437.5500000000002</v>
      </c>
      <c r="E64" s="10">
        <f>IF('muut muuttujat'!$G$3=1,C64,KÄYTTÖTAULU!$B$13)</f>
        <v>2460.56</v>
      </c>
      <c r="F64" s="10">
        <f>IF('muut muuttujat'!$G$3=1,D64,KÄYTTÖTAULU!$B$13)</f>
        <v>2437.5500000000002</v>
      </c>
      <c r="G64" s="10">
        <f>KÄYTTÖTAULU!$F$6</f>
        <v>0</v>
      </c>
      <c r="H64" s="10">
        <f>KÄYTTÖTAULU!$F$6</f>
        <v>0</v>
      </c>
      <c r="I64" s="10">
        <f t="shared" si="20"/>
        <v>0</v>
      </c>
      <c r="J64" s="10">
        <f t="shared" si="21"/>
        <v>0</v>
      </c>
      <c r="K64" s="1" t="e">
        <f>ROUND(I64/KÄYTTÖTAULU!$I$8,2)</f>
        <v>#DIV/0!</v>
      </c>
      <c r="L64" s="1" t="e">
        <f>ROUND(J64/KÄYTTÖTAULU!$I$8,2)</f>
        <v>#DIV/0!</v>
      </c>
      <c r="M64" s="1" t="e">
        <f t="shared" si="17"/>
        <v>#DIV/0!</v>
      </c>
      <c r="N64" s="1" t="e">
        <f t="shared" si="18"/>
        <v>#DIV/0!</v>
      </c>
      <c r="O64" s="10" t="e">
        <f>ROUND(ROUND(E64*0.84/KÄYTTÖTAULU!$I$8*12/38,2)*0.94,2)</f>
        <v>#DIV/0!</v>
      </c>
      <c r="P64" s="10" t="e">
        <f>ROUND(ROUND(F64*0.84/KÄYTTÖTAULU!$I$8*12/38,2)*0.94,2)</f>
        <v>#DIV/0!</v>
      </c>
      <c r="Q64" s="10"/>
      <c r="R64" s="17">
        <v>0</v>
      </c>
      <c r="S64" s="1">
        <v>4</v>
      </c>
      <c r="T64" s="1">
        <v>3</v>
      </c>
      <c r="U64" s="1">
        <v>6</v>
      </c>
      <c r="V64" s="1">
        <v>6</v>
      </c>
      <c r="W64" s="40">
        <v>6</v>
      </c>
      <c r="X64" s="1">
        <v>1</v>
      </c>
      <c r="Y64" s="1">
        <f t="shared" si="0"/>
        <v>1.04</v>
      </c>
      <c r="Z64" s="1">
        <f t="shared" si="1"/>
        <v>1.0712000000000002</v>
      </c>
      <c r="AA64" s="1">
        <f t="shared" si="2"/>
        <v>1.1354720000000003</v>
      </c>
      <c r="AB64" s="1">
        <f t="shared" si="19"/>
        <v>1.2036003200000003</v>
      </c>
      <c r="AC64" s="40">
        <f t="shared" si="4"/>
        <v>1.2758163392000004</v>
      </c>
      <c r="AE64" s="1">
        <v>0</v>
      </c>
      <c r="AF64" s="1">
        <v>4</v>
      </c>
      <c r="AG64" s="1">
        <v>4</v>
      </c>
      <c r="AH64" s="1">
        <v>6</v>
      </c>
      <c r="AI64" s="1">
        <v>6</v>
      </c>
      <c r="AJ64" s="1">
        <v>6</v>
      </c>
      <c r="AL64" s="1">
        <f t="shared" si="3"/>
        <v>1</v>
      </c>
    </row>
    <row r="65" spans="1:38" x14ac:dyDescent="0.3">
      <c r="A65" s="1">
        <v>60</v>
      </c>
      <c r="B65" s="9" t="s">
        <v>278</v>
      </c>
      <c r="C65" s="160">
        <f>VLOOKUP(MID(B65,1,8)-0,'1.6.2024'!$B$9:$G$160,3,FALSE)</f>
        <v>3172.35</v>
      </c>
      <c r="D65" s="160">
        <f>VLOOKUP(MID(B65,1,8)-0,'1.6.2024'!$B$9:$G$160,5,FALSE)</f>
        <v>3142.35</v>
      </c>
      <c r="E65" s="10">
        <f>IF('muut muuttujat'!$G$3=1,C65,KÄYTTÖTAULU!$B$13)</f>
        <v>3172.35</v>
      </c>
      <c r="F65" s="10">
        <f>IF('muut muuttujat'!$G$3=1,D65,KÄYTTÖTAULU!$B$13)</f>
        <v>3142.35</v>
      </c>
      <c r="G65" s="10">
        <f>KÄYTTÖTAULU!$F$6</f>
        <v>0</v>
      </c>
      <c r="H65" s="10">
        <f>KÄYTTÖTAULU!$F$6</f>
        <v>0</v>
      </c>
      <c r="I65" s="10">
        <f t="shared" si="20"/>
        <v>0</v>
      </c>
      <c r="J65" s="10">
        <f t="shared" si="21"/>
        <v>0</v>
      </c>
      <c r="K65" s="1" t="e">
        <f>ROUND(I65/KÄYTTÖTAULU!$I$8,2)</f>
        <v>#DIV/0!</v>
      </c>
      <c r="L65" s="1" t="e">
        <f>ROUND(J65/KÄYTTÖTAULU!$I$8,2)</f>
        <v>#DIV/0!</v>
      </c>
      <c r="M65" s="1" t="e">
        <f t="shared" si="17"/>
        <v>#DIV/0!</v>
      </c>
      <c r="N65" s="1" t="e">
        <f t="shared" si="18"/>
        <v>#DIV/0!</v>
      </c>
      <c r="O65" s="10" t="e">
        <f>ROUND(ROUND(E65*0.84/KÄYTTÖTAULU!$I$8*12/38,2)*0.94,2)</f>
        <v>#DIV/0!</v>
      </c>
      <c r="P65" s="10" t="e">
        <f>ROUND(ROUND(F65*0.84/KÄYTTÖTAULU!$I$8*12/38,2)*0.94,2)</f>
        <v>#DIV/0!</v>
      </c>
      <c r="Q65" s="10"/>
      <c r="R65" s="17">
        <v>0</v>
      </c>
      <c r="S65" s="1">
        <v>4</v>
      </c>
      <c r="T65" s="1">
        <v>3</v>
      </c>
      <c r="U65" s="1">
        <v>6</v>
      </c>
      <c r="V65" s="1">
        <v>6</v>
      </c>
      <c r="W65" s="40">
        <v>6</v>
      </c>
      <c r="X65" s="1">
        <v>1</v>
      </c>
      <c r="Y65" s="1">
        <f t="shared" si="0"/>
        <v>1.04</v>
      </c>
      <c r="Z65" s="1">
        <f t="shared" si="1"/>
        <v>1.0712000000000002</v>
      </c>
      <c r="AA65" s="1">
        <f t="shared" si="2"/>
        <v>1.1354720000000003</v>
      </c>
      <c r="AB65" s="1">
        <f t="shared" si="19"/>
        <v>1.2036003200000003</v>
      </c>
      <c r="AC65" s="40">
        <f t="shared" si="4"/>
        <v>1.2758163392000004</v>
      </c>
      <c r="AE65" s="1">
        <v>0</v>
      </c>
      <c r="AF65" s="1">
        <v>4</v>
      </c>
      <c r="AG65" s="1">
        <v>4</v>
      </c>
      <c r="AH65" s="1">
        <v>6</v>
      </c>
      <c r="AI65" s="1">
        <v>6</v>
      </c>
      <c r="AJ65" s="1">
        <v>6</v>
      </c>
      <c r="AL65" s="1">
        <f t="shared" si="3"/>
        <v>1</v>
      </c>
    </row>
    <row r="66" spans="1:38" x14ac:dyDescent="0.3">
      <c r="A66" s="1">
        <v>61</v>
      </c>
      <c r="B66" s="9" t="s">
        <v>279</v>
      </c>
      <c r="C66" s="160">
        <f>VLOOKUP(MID(B66,1,8)-0,'1.6.2024'!$B$9:$G$160,3,FALSE)</f>
        <v>2953.21</v>
      </c>
      <c r="D66" s="160">
        <f>VLOOKUP(MID(B66,1,8)-0,'1.6.2024'!$B$9:$G$160,5,FALSE)</f>
        <v>2925.3</v>
      </c>
      <c r="E66" s="10">
        <f>IF('muut muuttujat'!$G$3=1,C66,KÄYTTÖTAULU!$B$13)</f>
        <v>2953.21</v>
      </c>
      <c r="F66" s="10">
        <f>IF('muut muuttujat'!$G$3=1,D66,KÄYTTÖTAULU!$B$13)</f>
        <v>2925.3</v>
      </c>
      <c r="G66" s="10">
        <f>KÄYTTÖTAULU!$F$6</f>
        <v>0</v>
      </c>
      <c r="H66" s="10">
        <f>KÄYTTÖTAULU!$F$6</f>
        <v>0</v>
      </c>
      <c r="I66" s="10">
        <f t="shared" si="20"/>
        <v>0</v>
      </c>
      <c r="J66" s="10">
        <f t="shared" si="21"/>
        <v>0</v>
      </c>
      <c r="K66" s="1" t="e">
        <f>ROUND(I66/KÄYTTÖTAULU!$I$8,2)</f>
        <v>#DIV/0!</v>
      </c>
      <c r="L66" s="1" t="e">
        <f>ROUND(J66/KÄYTTÖTAULU!$I$8,2)</f>
        <v>#DIV/0!</v>
      </c>
      <c r="M66" s="1" t="e">
        <f t="shared" si="17"/>
        <v>#DIV/0!</v>
      </c>
      <c r="N66" s="1" t="e">
        <f t="shared" si="18"/>
        <v>#DIV/0!</v>
      </c>
      <c r="O66" s="10" t="e">
        <f>ROUND(ROUND(E66*0.84/KÄYTTÖTAULU!$I$8*12/38,2)*0.94,2)</f>
        <v>#DIV/0!</v>
      </c>
      <c r="P66" s="10" t="e">
        <f>ROUND(ROUND(F66*0.84/KÄYTTÖTAULU!$I$8*12/38,2)*0.94,2)</f>
        <v>#DIV/0!</v>
      </c>
      <c r="Q66" s="10"/>
      <c r="R66" s="17">
        <v>0</v>
      </c>
      <c r="S66" s="1">
        <v>4</v>
      </c>
      <c r="T66" s="1">
        <v>3</v>
      </c>
      <c r="U66" s="1">
        <v>6</v>
      </c>
      <c r="V66" s="1">
        <v>6</v>
      </c>
      <c r="W66" s="40">
        <v>6</v>
      </c>
      <c r="X66" s="1">
        <v>1</v>
      </c>
      <c r="Y66" s="1">
        <f t="shared" si="0"/>
        <v>1.04</v>
      </c>
      <c r="Z66" s="1">
        <f t="shared" si="1"/>
        <v>1.0712000000000002</v>
      </c>
      <c r="AA66" s="1">
        <f t="shared" si="2"/>
        <v>1.1354720000000003</v>
      </c>
      <c r="AB66" s="1">
        <f t="shared" si="19"/>
        <v>1.2036003200000003</v>
      </c>
      <c r="AC66" s="40">
        <f t="shared" si="4"/>
        <v>1.2758163392000004</v>
      </c>
      <c r="AE66" s="1">
        <v>0</v>
      </c>
      <c r="AF66" s="1">
        <v>4</v>
      </c>
      <c r="AG66" s="1">
        <v>4</v>
      </c>
      <c r="AH66" s="1">
        <v>6</v>
      </c>
      <c r="AI66" s="1">
        <v>6</v>
      </c>
      <c r="AJ66" s="1">
        <v>6</v>
      </c>
      <c r="AL66" s="1">
        <f t="shared" si="3"/>
        <v>1</v>
      </c>
    </row>
    <row r="67" spans="1:38" x14ac:dyDescent="0.3">
      <c r="A67" s="1">
        <v>62</v>
      </c>
      <c r="B67" s="9" t="s">
        <v>280</v>
      </c>
      <c r="C67" s="160">
        <f>VLOOKUP(MID(B67,1,8)-0,'1.6.2024'!$B$9:$G$160,3,FALSE)</f>
        <v>2842.53</v>
      </c>
      <c r="D67" s="160">
        <f>VLOOKUP(MID(B67,1,8)-0,'1.6.2024'!$B$9:$G$160,5,FALSE)</f>
        <v>2815.63</v>
      </c>
      <c r="E67" s="10">
        <f>IF('muut muuttujat'!$G$3=1,C67,KÄYTTÖTAULU!$B$13)</f>
        <v>2842.53</v>
      </c>
      <c r="F67" s="10">
        <f>IF('muut muuttujat'!$G$3=1,D67,KÄYTTÖTAULU!$B$13)</f>
        <v>2815.63</v>
      </c>
      <c r="G67" s="10">
        <f>KÄYTTÖTAULU!$F$6</f>
        <v>0</v>
      </c>
      <c r="H67" s="10">
        <f>KÄYTTÖTAULU!$F$6</f>
        <v>0</v>
      </c>
      <c r="I67" s="10">
        <f t="shared" si="20"/>
        <v>0</v>
      </c>
      <c r="J67" s="10">
        <f t="shared" si="21"/>
        <v>0</v>
      </c>
      <c r="K67" s="1" t="e">
        <f>ROUND(I67/KÄYTTÖTAULU!$I$8,2)</f>
        <v>#DIV/0!</v>
      </c>
      <c r="L67" s="1" t="e">
        <f>ROUND(J67/KÄYTTÖTAULU!$I$8,2)</f>
        <v>#DIV/0!</v>
      </c>
      <c r="M67" s="1" t="e">
        <f t="shared" si="17"/>
        <v>#DIV/0!</v>
      </c>
      <c r="N67" s="1" t="e">
        <f t="shared" si="18"/>
        <v>#DIV/0!</v>
      </c>
      <c r="O67" s="10" t="e">
        <f>ROUND(ROUND(E67*0.84/KÄYTTÖTAULU!$I$8*12/38,2)*0.94,2)</f>
        <v>#DIV/0!</v>
      </c>
      <c r="P67" s="10" t="e">
        <f>ROUND(ROUND(F67*0.84/KÄYTTÖTAULU!$I$8*12/38,2)*0.94,2)</f>
        <v>#DIV/0!</v>
      </c>
      <c r="Q67" s="10"/>
      <c r="R67" s="17">
        <v>0</v>
      </c>
      <c r="S67" s="1">
        <v>4</v>
      </c>
      <c r="T67" s="1">
        <v>3</v>
      </c>
      <c r="U67" s="1">
        <v>6</v>
      </c>
      <c r="V67" s="1">
        <v>6</v>
      </c>
      <c r="W67" s="40">
        <v>6</v>
      </c>
      <c r="X67" s="1">
        <v>1</v>
      </c>
      <c r="Y67" s="1">
        <f t="shared" si="0"/>
        <v>1.04</v>
      </c>
      <c r="Z67" s="1">
        <f t="shared" si="1"/>
        <v>1.0712000000000002</v>
      </c>
      <c r="AA67" s="1">
        <f t="shared" si="2"/>
        <v>1.1354720000000003</v>
      </c>
      <c r="AB67" s="1">
        <f t="shared" si="19"/>
        <v>1.2036003200000003</v>
      </c>
      <c r="AC67" s="40">
        <f t="shared" si="4"/>
        <v>1.2758163392000004</v>
      </c>
      <c r="AE67" s="1">
        <v>0</v>
      </c>
      <c r="AF67" s="1">
        <v>4</v>
      </c>
      <c r="AG67" s="1">
        <v>4</v>
      </c>
      <c r="AH67" s="1">
        <v>6</v>
      </c>
      <c r="AI67" s="1">
        <v>6</v>
      </c>
      <c r="AJ67" s="1">
        <v>6</v>
      </c>
      <c r="AL67" s="1">
        <f t="shared" si="3"/>
        <v>1</v>
      </c>
    </row>
    <row r="68" spans="1:38" x14ac:dyDescent="0.3">
      <c r="A68" s="1">
        <v>63</v>
      </c>
      <c r="B68" s="9" t="s">
        <v>500</v>
      </c>
      <c r="C68" s="160">
        <f>VLOOKUP(MID(B68,1,8)-0,'1.6.2024'!$B$9:$G$160,3,FALSE)</f>
        <v>2321.64</v>
      </c>
      <c r="D68" s="160">
        <f>VLOOKUP(MID(B68,1,8)-0,'1.6.2024'!$B$9:$G$160,5,FALSE)</f>
        <v>2300.3200000000002</v>
      </c>
      <c r="E68" s="10">
        <f>IF('muut muuttujat'!$G$3=1,C68,KÄYTTÖTAULU!$B$13)</f>
        <v>2321.64</v>
      </c>
      <c r="F68" s="10">
        <f>IF('muut muuttujat'!$G$3=1,D68,KÄYTTÖTAULU!$B$13)</f>
        <v>2300.3200000000002</v>
      </c>
      <c r="G68" s="10">
        <f>KÄYTTÖTAULU!$F$6</f>
        <v>0</v>
      </c>
      <c r="H68" s="10">
        <f>KÄYTTÖTAULU!$F$6</f>
        <v>0</v>
      </c>
      <c r="I68" s="10">
        <f t="shared" si="20"/>
        <v>0</v>
      </c>
      <c r="J68" s="10">
        <f t="shared" si="21"/>
        <v>0</v>
      </c>
      <c r="K68" s="1" t="e">
        <f>ROUND(I68/KÄYTTÖTAULU!$I$8,2)</f>
        <v>#DIV/0!</v>
      </c>
      <c r="L68" s="1" t="e">
        <f>ROUND(J68/KÄYTTÖTAULU!$I$8,2)</f>
        <v>#DIV/0!</v>
      </c>
      <c r="M68" s="1" t="e">
        <f t="shared" si="17"/>
        <v>#DIV/0!</v>
      </c>
      <c r="N68" s="1" t="e">
        <f t="shared" si="18"/>
        <v>#DIV/0!</v>
      </c>
      <c r="O68" s="10" t="e">
        <f>ROUND(ROUND(E68*0.84/KÄYTTÖTAULU!$I$8*12/38,2)*0.94,2)</f>
        <v>#DIV/0!</v>
      </c>
      <c r="P68" s="10" t="e">
        <f>ROUND(ROUND(F68*0.84/KÄYTTÖTAULU!$I$8*12/38,2)*0.94,2)</f>
        <v>#DIV/0!</v>
      </c>
      <c r="Q68" s="10"/>
      <c r="R68" s="17">
        <v>0</v>
      </c>
      <c r="S68" s="1">
        <v>4</v>
      </c>
      <c r="T68" s="1">
        <v>3</v>
      </c>
      <c r="U68" s="1">
        <v>6</v>
      </c>
      <c r="V68" s="1">
        <v>6</v>
      </c>
      <c r="W68" s="40">
        <v>6</v>
      </c>
      <c r="X68" s="1">
        <v>1</v>
      </c>
      <c r="Y68" s="1">
        <f t="shared" si="0"/>
        <v>1.04</v>
      </c>
      <c r="Z68" s="1">
        <f t="shared" si="1"/>
        <v>1.0712000000000002</v>
      </c>
      <c r="AA68" s="1">
        <f t="shared" si="2"/>
        <v>1.1354720000000003</v>
      </c>
      <c r="AB68" s="1">
        <f t="shared" si="19"/>
        <v>1.2036003200000003</v>
      </c>
      <c r="AC68" s="40">
        <f t="shared" si="4"/>
        <v>1.2758163392000004</v>
      </c>
      <c r="AE68" s="1">
        <v>0</v>
      </c>
      <c r="AF68" s="1">
        <v>4</v>
      </c>
      <c r="AG68" s="1">
        <v>4</v>
      </c>
      <c r="AH68" s="1">
        <v>6</v>
      </c>
      <c r="AI68" s="1">
        <v>6</v>
      </c>
      <c r="AJ68" s="1">
        <v>6</v>
      </c>
      <c r="AL68" s="1">
        <f t="shared" si="3"/>
        <v>1</v>
      </c>
    </row>
    <row r="69" spans="1:38" x14ac:dyDescent="0.3">
      <c r="A69" s="1">
        <v>64</v>
      </c>
      <c r="B69" s="9" t="s">
        <v>281</v>
      </c>
      <c r="C69" s="160">
        <f>VLOOKUP(MID(B69,1,8)-0,'1.6.2024'!$B$9:$G$160,3,FALSE)</f>
        <v>2216.34</v>
      </c>
      <c r="D69" s="160">
        <f>VLOOKUP(MID(B69,1,8)-0,'1.6.2024'!$B$9:$G$160,5,FALSE)</f>
        <v>2196.85</v>
      </c>
      <c r="E69" s="10">
        <f>IF('muut muuttujat'!$G$3=1,C69,KÄYTTÖTAULU!$B$13)</f>
        <v>2216.34</v>
      </c>
      <c r="F69" s="10">
        <f>IF('muut muuttujat'!$G$3=1,D69,KÄYTTÖTAULU!$B$13)</f>
        <v>2196.85</v>
      </c>
      <c r="G69" s="10">
        <f>KÄYTTÖTAULU!$F$6</f>
        <v>0</v>
      </c>
      <c r="H69" s="10">
        <f>KÄYTTÖTAULU!$F$6</f>
        <v>0</v>
      </c>
      <c r="I69" s="10">
        <f t="shared" si="20"/>
        <v>0</v>
      </c>
      <c r="J69" s="10">
        <f t="shared" si="21"/>
        <v>0</v>
      </c>
      <c r="K69" s="1" t="e">
        <f>ROUND(I69/KÄYTTÖTAULU!$I$8,2)</f>
        <v>#DIV/0!</v>
      </c>
      <c r="L69" s="1" t="e">
        <f>ROUND(J69/KÄYTTÖTAULU!$I$8,2)</f>
        <v>#DIV/0!</v>
      </c>
      <c r="M69" s="1" t="e">
        <f t="shared" si="17"/>
        <v>#DIV/0!</v>
      </c>
      <c r="N69" s="1" t="e">
        <f t="shared" si="18"/>
        <v>#DIV/0!</v>
      </c>
      <c r="O69" s="10" t="e">
        <f>ROUND(ROUND(E69*0.84/KÄYTTÖTAULU!$I$8*12/38,2)*0.94,2)</f>
        <v>#DIV/0!</v>
      </c>
      <c r="P69" s="10" t="e">
        <f>ROUND(ROUND(F69*0.84/KÄYTTÖTAULU!$I$8*12/38,2)*0.94,2)</f>
        <v>#DIV/0!</v>
      </c>
      <c r="Q69" s="10"/>
      <c r="R69" s="17">
        <v>0</v>
      </c>
      <c r="S69" s="1">
        <v>4</v>
      </c>
      <c r="T69" s="1">
        <v>3</v>
      </c>
      <c r="U69" s="1">
        <v>6</v>
      </c>
      <c r="V69" s="1">
        <v>6</v>
      </c>
      <c r="W69" s="40">
        <v>6</v>
      </c>
      <c r="X69" s="1">
        <v>1</v>
      </c>
      <c r="Y69" s="1">
        <f t="shared" si="0"/>
        <v>1.04</v>
      </c>
      <c r="Z69" s="1">
        <f t="shared" si="1"/>
        <v>1.0712000000000002</v>
      </c>
      <c r="AA69" s="1">
        <f t="shared" si="2"/>
        <v>1.1354720000000003</v>
      </c>
      <c r="AB69" s="1">
        <f t="shared" si="19"/>
        <v>1.2036003200000003</v>
      </c>
      <c r="AC69" s="40">
        <f t="shared" si="4"/>
        <v>1.2758163392000004</v>
      </c>
      <c r="AE69" s="1">
        <v>0</v>
      </c>
      <c r="AF69" s="1">
        <v>4</v>
      </c>
      <c r="AG69" s="1">
        <v>4</v>
      </c>
      <c r="AH69" s="1">
        <v>6</v>
      </c>
      <c r="AI69" s="1">
        <v>6</v>
      </c>
      <c r="AJ69" s="1">
        <v>6</v>
      </c>
      <c r="AL69" s="1">
        <f t="shared" si="3"/>
        <v>1</v>
      </c>
    </row>
    <row r="70" spans="1:38" x14ac:dyDescent="0.3">
      <c r="A70" s="1">
        <v>65</v>
      </c>
      <c r="B70" s="9" t="s">
        <v>282</v>
      </c>
      <c r="C70" s="160">
        <f>VLOOKUP(MID(B70,1,8)-0,'1.6.2024'!$B$9:$G$160,3,FALSE)</f>
        <v>2548.33</v>
      </c>
      <c r="D70" s="160">
        <f>VLOOKUP(MID(B70,1,8)-0,'1.6.2024'!$B$9:$G$160,5,FALSE)</f>
        <v>2524.21</v>
      </c>
      <c r="E70" s="10">
        <f>IF('muut muuttujat'!$G$3=1,C70,KÄYTTÖTAULU!$B$13)</f>
        <v>2548.33</v>
      </c>
      <c r="F70" s="10">
        <f>IF('muut muuttujat'!$G$3=1,D70,KÄYTTÖTAULU!$B$13)</f>
        <v>2524.21</v>
      </c>
      <c r="G70" s="10">
        <f>KÄYTTÖTAULU!$F$6</f>
        <v>0</v>
      </c>
      <c r="H70" s="10">
        <f>KÄYTTÖTAULU!$F$6</f>
        <v>0</v>
      </c>
      <c r="I70" s="10">
        <f t="shared" si="20"/>
        <v>0</v>
      </c>
      <c r="J70" s="10">
        <f t="shared" si="21"/>
        <v>0</v>
      </c>
      <c r="K70" s="1" t="e">
        <f>ROUND(I70/KÄYTTÖTAULU!$I$8,2)</f>
        <v>#DIV/0!</v>
      </c>
      <c r="L70" s="1" t="e">
        <f>ROUND(J70/KÄYTTÖTAULU!$I$8,2)</f>
        <v>#DIV/0!</v>
      </c>
      <c r="M70" s="1" t="e">
        <f t="shared" si="17"/>
        <v>#DIV/0!</v>
      </c>
      <c r="N70" s="1" t="e">
        <f t="shared" si="18"/>
        <v>#DIV/0!</v>
      </c>
      <c r="O70" s="10" t="e">
        <f>ROUND(ROUND(E70*0.84/KÄYTTÖTAULU!$I$8*12/38,2)*0.94,2)</f>
        <v>#DIV/0!</v>
      </c>
      <c r="P70" s="10" t="e">
        <f>ROUND(ROUND(F70*0.84/KÄYTTÖTAULU!$I$8*12/38,2)*0.94,2)</f>
        <v>#DIV/0!</v>
      </c>
      <c r="Q70" s="10"/>
      <c r="R70" s="17">
        <v>0</v>
      </c>
      <c r="S70" s="1">
        <v>6</v>
      </c>
      <c r="T70" s="1">
        <v>2</v>
      </c>
      <c r="U70" s="1">
        <v>9</v>
      </c>
      <c r="V70" s="1">
        <v>6</v>
      </c>
      <c r="W70" s="40">
        <v>6</v>
      </c>
      <c r="X70" s="1">
        <v>1</v>
      </c>
      <c r="Y70" s="1">
        <f t="shared" si="0"/>
        <v>1.06</v>
      </c>
      <c r="Z70" s="1">
        <f t="shared" si="1"/>
        <v>1.0812000000000002</v>
      </c>
      <c r="AA70" s="1">
        <f t="shared" si="2"/>
        <v>1.1785080000000003</v>
      </c>
      <c r="AB70" s="1">
        <f t="shared" si="19"/>
        <v>1.2492184800000004</v>
      </c>
      <c r="AC70" s="40">
        <f t="shared" si="4"/>
        <v>1.3241715888000005</v>
      </c>
      <c r="AE70" s="1">
        <v>0</v>
      </c>
      <c r="AF70" s="1">
        <v>6</v>
      </c>
      <c r="AG70" s="1">
        <v>3</v>
      </c>
      <c r="AH70" s="1">
        <v>9</v>
      </c>
      <c r="AI70" s="1">
        <v>6</v>
      </c>
      <c r="AJ70" s="1">
        <v>6</v>
      </c>
      <c r="AL70" s="1">
        <f t="shared" si="3"/>
        <v>1</v>
      </c>
    </row>
    <row r="71" spans="1:38" x14ac:dyDescent="0.3">
      <c r="A71" s="1">
        <v>66</v>
      </c>
      <c r="B71" s="9" t="s">
        <v>499</v>
      </c>
      <c r="C71" s="160">
        <f>VLOOKUP(MID(B71,1,8)-0,'1.6.2024'!$B$9:$G$160,3,FALSE)</f>
        <v>2548.33</v>
      </c>
      <c r="D71" s="160">
        <f>VLOOKUP(MID(B71,1,8)-0,'1.6.2024'!$B$9:$G$160,5,FALSE)</f>
        <v>2524.21</v>
      </c>
      <c r="E71" s="10">
        <f>IF('muut muuttujat'!$G$3=1,C71,KÄYTTÖTAULU!$B$13)</f>
        <v>2548.33</v>
      </c>
      <c r="F71" s="10">
        <f>IF('muut muuttujat'!$G$3=1,D71,KÄYTTÖTAULU!$B$13)</f>
        <v>2524.21</v>
      </c>
      <c r="G71" s="10">
        <f>KÄYTTÖTAULU!$F$6</f>
        <v>0</v>
      </c>
      <c r="H71" s="10">
        <f>KÄYTTÖTAULU!$F$6</f>
        <v>0</v>
      </c>
      <c r="I71" s="10">
        <f t="shared" si="20"/>
        <v>0</v>
      </c>
      <c r="J71" s="10">
        <f t="shared" si="21"/>
        <v>0</v>
      </c>
      <c r="K71" s="1" t="e">
        <f>ROUND(I71/KÄYTTÖTAULU!$I$8,2)</f>
        <v>#DIV/0!</v>
      </c>
      <c r="L71" s="1" t="e">
        <f>ROUND(J71/KÄYTTÖTAULU!$I$8,2)</f>
        <v>#DIV/0!</v>
      </c>
      <c r="M71" s="1" t="e">
        <f t="shared" si="17"/>
        <v>#DIV/0!</v>
      </c>
      <c r="N71" s="1" t="e">
        <f t="shared" si="18"/>
        <v>#DIV/0!</v>
      </c>
      <c r="O71" s="10" t="e">
        <f>ROUND(ROUND(E71*0.84/KÄYTTÖTAULU!$I$8*12/38,2)*0.94,2)</f>
        <v>#DIV/0!</v>
      </c>
      <c r="P71" s="10" t="e">
        <f>ROUND(ROUND(F71*0.84/KÄYTTÖTAULU!$I$8*12/38,2)*0.94,2)</f>
        <v>#DIV/0!</v>
      </c>
      <c r="Q71" s="10"/>
      <c r="R71" s="17">
        <v>0</v>
      </c>
      <c r="S71" s="1">
        <v>6</v>
      </c>
      <c r="T71" s="1">
        <v>2</v>
      </c>
      <c r="U71" s="1">
        <v>9</v>
      </c>
      <c r="V71" s="1">
        <v>6</v>
      </c>
      <c r="W71" s="40">
        <v>6</v>
      </c>
      <c r="X71" s="1">
        <v>1</v>
      </c>
      <c r="Y71" s="1">
        <f t="shared" si="0"/>
        <v>1.06</v>
      </c>
      <c r="Z71" s="1">
        <f t="shared" si="1"/>
        <v>1.0812000000000002</v>
      </c>
      <c r="AA71" s="1">
        <f t="shared" si="2"/>
        <v>1.1785080000000003</v>
      </c>
      <c r="AB71" s="1">
        <f t="shared" si="19"/>
        <v>1.2492184800000004</v>
      </c>
      <c r="AC71" s="40">
        <f t="shared" si="4"/>
        <v>1.3241715888000005</v>
      </c>
      <c r="AE71" s="1">
        <v>0</v>
      </c>
      <c r="AF71" s="1">
        <v>6</v>
      </c>
      <c r="AG71" s="1">
        <v>3</v>
      </c>
      <c r="AH71" s="1">
        <v>9</v>
      </c>
      <c r="AI71" s="1">
        <v>6</v>
      </c>
      <c r="AJ71" s="1">
        <v>6</v>
      </c>
      <c r="AL71" s="1">
        <f t="shared" si="3"/>
        <v>1</v>
      </c>
    </row>
    <row r="72" spans="1:38" x14ac:dyDescent="0.3">
      <c r="A72" s="1">
        <v>67</v>
      </c>
      <c r="B72" s="9" t="s">
        <v>283</v>
      </c>
      <c r="C72" s="160">
        <f>VLOOKUP(MID(B72,1,8)-0,'1.6.2024'!$B$9:$G$160,3,FALSE)</f>
        <v>2495.33</v>
      </c>
      <c r="D72" s="160">
        <f>VLOOKUP(MID(B72,1,8)-0,'1.6.2024'!$B$9:$G$160,5,FALSE)</f>
        <v>2471.6799999999998</v>
      </c>
      <c r="E72" s="10">
        <f>IF('muut muuttujat'!$G$3=1,C72,KÄYTTÖTAULU!$B$13)</f>
        <v>2495.33</v>
      </c>
      <c r="F72" s="10">
        <f>IF('muut muuttujat'!$G$3=1,D72,KÄYTTÖTAULU!$B$13)</f>
        <v>2471.6799999999998</v>
      </c>
      <c r="G72" s="10">
        <f>KÄYTTÖTAULU!$F$6</f>
        <v>0</v>
      </c>
      <c r="H72" s="10">
        <f>KÄYTTÖTAULU!$F$6</f>
        <v>0</v>
      </c>
      <c r="I72" s="10">
        <f t="shared" si="20"/>
        <v>0</v>
      </c>
      <c r="J72" s="10">
        <f t="shared" si="21"/>
        <v>0</v>
      </c>
      <c r="K72" s="1" t="e">
        <f>ROUND(I72/KÄYTTÖTAULU!$I$8,2)</f>
        <v>#DIV/0!</v>
      </c>
      <c r="L72" s="1" t="e">
        <f>ROUND(J72/KÄYTTÖTAULU!$I$8,2)</f>
        <v>#DIV/0!</v>
      </c>
      <c r="M72" s="1" t="e">
        <f t="shared" si="17"/>
        <v>#DIV/0!</v>
      </c>
      <c r="N72" s="1" t="e">
        <f t="shared" si="18"/>
        <v>#DIV/0!</v>
      </c>
      <c r="O72" s="10" t="e">
        <f>ROUND(ROUND(E72*0.84/KÄYTTÖTAULU!$I$8*12/38,2)*0.94,2)</f>
        <v>#DIV/0!</v>
      </c>
      <c r="P72" s="10" t="e">
        <f>ROUND(ROUND(F72*0.84/KÄYTTÖTAULU!$I$8*12/38,2)*0.94,2)</f>
        <v>#DIV/0!</v>
      </c>
      <c r="Q72" s="10"/>
      <c r="R72" s="17">
        <v>0</v>
      </c>
      <c r="S72" s="1">
        <v>6</v>
      </c>
      <c r="T72" s="1">
        <v>2</v>
      </c>
      <c r="U72" s="1">
        <v>9</v>
      </c>
      <c r="V72" s="1">
        <v>6</v>
      </c>
      <c r="W72" s="40">
        <v>6</v>
      </c>
      <c r="X72" s="1">
        <v>1</v>
      </c>
      <c r="Y72" s="1">
        <f t="shared" si="0"/>
        <v>1.06</v>
      </c>
      <c r="Z72" s="1">
        <f t="shared" si="1"/>
        <v>1.0812000000000002</v>
      </c>
      <c r="AA72" s="1">
        <f t="shared" si="2"/>
        <v>1.1785080000000003</v>
      </c>
      <c r="AB72" s="1">
        <f t="shared" si="19"/>
        <v>1.2492184800000004</v>
      </c>
      <c r="AC72" s="40">
        <f t="shared" si="4"/>
        <v>1.3241715888000005</v>
      </c>
      <c r="AE72" s="1">
        <v>0</v>
      </c>
      <c r="AF72" s="1">
        <v>6</v>
      </c>
      <c r="AG72" s="1">
        <v>3</v>
      </c>
      <c r="AH72" s="1">
        <v>9</v>
      </c>
      <c r="AI72" s="1">
        <v>6</v>
      </c>
      <c r="AJ72" s="1">
        <v>6</v>
      </c>
      <c r="AL72" s="1">
        <f t="shared" si="3"/>
        <v>1</v>
      </c>
    </row>
    <row r="73" spans="1:38" x14ac:dyDescent="0.3">
      <c r="A73" s="1">
        <v>68</v>
      </c>
      <c r="B73" s="9" t="s">
        <v>284</v>
      </c>
      <c r="C73" s="160">
        <f>VLOOKUP(MID(B73,1,8)-0,'1.6.2024'!$B$9:$G$160,3,FALSE)</f>
        <v>2150.8000000000002</v>
      </c>
      <c r="D73" s="160">
        <f>VLOOKUP(MID(B73,1,8)-0,'1.6.2024'!$B$9:$G$160,5,FALSE)</f>
        <v>2133.16</v>
      </c>
      <c r="E73" s="10">
        <f>IF('muut muuttujat'!$G$3=1,C73,KÄYTTÖTAULU!$B$13)</f>
        <v>2150.8000000000002</v>
      </c>
      <c r="F73" s="10">
        <f>IF('muut muuttujat'!$G$3=1,D73,KÄYTTÖTAULU!$B$13)</f>
        <v>2133.16</v>
      </c>
      <c r="G73" s="10">
        <f>KÄYTTÖTAULU!$F$6</f>
        <v>0</v>
      </c>
      <c r="H73" s="10">
        <f>KÄYTTÖTAULU!$F$6</f>
        <v>0</v>
      </c>
      <c r="I73" s="10">
        <f t="shared" si="20"/>
        <v>0</v>
      </c>
      <c r="J73" s="10">
        <f t="shared" si="21"/>
        <v>0</v>
      </c>
      <c r="K73" s="1" t="e">
        <f>ROUND(I73/KÄYTTÖTAULU!$I$8,2)</f>
        <v>#DIV/0!</v>
      </c>
      <c r="L73" s="1" t="e">
        <f>ROUND(J73/KÄYTTÖTAULU!$I$8,2)</f>
        <v>#DIV/0!</v>
      </c>
      <c r="M73" s="1" t="e">
        <f t="shared" si="17"/>
        <v>#DIV/0!</v>
      </c>
      <c r="N73" s="1" t="e">
        <f t="shared" si="18"/>
        <v>#DIV/0!</v>
      </c>
      <c r="O73" s="10" t="e">
        <f>ROUND(ROUND(E73*0.84/KÄYTTÖTAULU!$I$8*12/38,2)*0.94,2)</f>
        <v>#DIV/0!</v>
      </c>
      <c r="P73" s="10" t="e">
        <f>ROUND(ROUND(F73*0.84/KÄYTTÖTAULU!$I$8*12/38,2)*0.94,2)</f>
        <v>#DIV/0!</v>
      </c>
      <c r="Q73" s="10"/>
      <c r="R73" s="17">
        <v>0</v>
      </c>
      <c r="S73" s="1">
        <v>6</v>
      </c>
      <c r="T73" s="1">
        <v>2</v>
      </c>
      <c r="U73" s="1">
        <v>9</v>
      </c>
      <c r="V73" s="1">
        <v>6</v>
      </c>
      <c r="W73" s="40">
        <v>6</v>
      </c>
      <c r="X73" s="1">
        <v>1</v>
      </c>
      <c r="Y73" s="1">
        <f t="shared" si="0"/>
        <v>1.06</v>
      </c>
      <c r="Z73" s="1">
        <f t="shared" si="1"/>
        <v>1.0812000000000002</v>
      </c>
      <c r="AA73" s="1">
        <f t="shared" si="2"/>
        <v>1.1785080000000003</v>
      </c>
      <c r="AB73" s="1">
        <f t="shared" si="19"/>
        <v>1.2492184800000004</v>
      </c>
      <c r="AC73" s="40">
        <f t="shared" si="4"/>
        <v>1.3241715888000005</v>
      </c>
      <c r="AE73" s="1">
        <v>0</v>
      </c>
      <c r="AF73" s="1">
        <v>6</v>
      </c>
      <c r="AG73" s="1">
        <v>3</v>
      </c>
      <c r="AH73" s="1">
        <v>9</v>
      </c>
      <c r="AI73" s="1">
        <v>6</v>
      </c>
      <c r="AJ73" s="1">
        <v>6</v>
      </c>
      <c r="AL73" s="1">
        <f t="shared" si="3"/>
        <v>1</v>
      </c>
    </row>
    <row r="74" spans="1:38" x14ac:dyDescent="0.3">
      <c r="A74" s="1">
        <v>69</v>
      </c>
      <c r="B74" s="9" t="s">
        <v>285</v>
      </c>
      <c r="C74" s="160">
        <f>VLOOKUP(MID(B74,1,8)-0,'1.6.2024'!$B$9:$G$160,3,FALSE)</f>
        <v>3330.92</v>
      </c>
      <c r="D74" s="160">
        <f>VLOOKUP(MID(B74,1,8)-0,'1.6.2024'!$B$9:$G$160,5,FALSE)</f>
        <v>3299.45</v>
      </c>
      <c r="E74" s="10">
        <f>IF('muut muuttujat'!$G$3=1,C74,KÄYTTÖTAULU!$B$13)</f>
        <v>3330.92</v>
      </c>
      <c r="F74" s="10">
        <f>IF('muut muuttujat'!$G$3=1,D74,KÄYTTÖTAULU!$B$13)</f>
        <v>3299.45</v>
      </c>
      <c r="G74" s="10">
        <f>KÄYTTÖTAULU!$F$6</f>
        <v>0</v>
      </c>
      <c r="H74" s="10">
        <f>KÄYTTÖTAULU!$F$6</f>
        <v>0</v>
      </c>
      <c r="I74" s="10">
        <f t="shared" si="20"/>
        <v>0</v>
      </c>
      <c r="J74" s="10">
        <f t="shared" si="21"/>
        <v>0</v>
      </c>
      <c r="K74" s="1" t="e">
        <f>ROUND(I74/KÄYTTÖTAULU!$I$8,2)</f>
        <v>#DIV/0!</v>
      </c>
      <c r="L74" s="1" t="e">
        <f>ROUND(J74/KÄYTTÖTAULU!$I$8,2)</f>
        <v>#DIV/0!</v>
      </c>
      <c r="M74" s="1" t="e">
        <f t="shared" si="17"/>
        <v>#DIV/0!</v>
      </c>
      <c r="N74" s="1" t="e">
        <f t="shared" si="18"/>
        <v>#DIV/0!</v>
      </c>
      <c r="O74" s="10"/>
      <c r="P74" s="10"/>
      <c r="Q74" s="10"/>
      <c r="R74" s="17">
        <v>0</v>
      </c>
      <c r="S74" s="1">
        <v>6</v>
      </c>
      <c r="T74" s="1">
        <v>2</v>
      </c>
      <c r="U74" s="1">
        <v>10</v>
      </c>
      <c r="V74" s="1">
        <v>4</v>
      </c>
      <c r="W74" s="40">
        <v>6</v>
      </c>
      <c r="X74" s="1">
        <v>1</v>
      </c>
      <c r="Y74" s="1">
        <f t="shared" si="0"/>
        <v>1.06</v>
      </c>
      <c r="Z74" s="1">
        <f t="shared" si="1"/>
        <v>1.0812000000000002</v>
      </c>
      <c r="AA74" s="1">
        <f t="shared" si="2"/>
        <v>1.1893200000000004</v>
      </c>
      <c r="AB74" s="1">
        <f t="shared" si="19"/>
        <v>1.2368928000000003</v>
      </c>
      <c r="AC74" s="40">
        <f t="shared" si="4"/>
        <v>1.3111063680000004</v>
      </c>
      <c r="AE74" s="1">
        <v>0</v>
      </c>
      <c r="AF74" s="1">
        <v>6</v>
      </c>
      <c r="AG74" s="1">
        <v>2</v>
      </c>
      <c r="AH74" s="1">
        <v>10</v>
      </c>
      <c r="AI74" s="1">
        <v>4</v>
      </c>
      <c r="AJ74" s="1">
        <v>6</v>
      </c>
      <c r="AL74" s="1">
        <f t="shared" si="3"/>
        <v>0</v>
      </c>
    </row>
    <row r="75" spans="1:38" x14ac:dyDescent="0.3">
      <c r="A75" s="1">
        <v>70</v>
      </c>
      <c r="B75" s="9" t="s">
        <v>286</v>
      </c>
      <c r="C75" s="160">
        <f>VLOOKUP(MID(B75,1,8)-0,'1.6.2024'!$B$9:$G$160,3,FALSE)</f>
        <v>3178.93</v>
      </c>
      <c r="D75" s="160">
        <f>VLOOKUP(MID(B75,1,8)-0,'1.6.2024'!$B$9:$G$160,5,FALSE)</f>
        <v>3148.82</v>
      </c>
      <c r="E75" s="10">
        <f>IF('muut muuttujat'!$G$3=1,C75,KÄYTTÖTAULU!$B$13)</f>
        <v>3178.93</v>
      </c>
      <c r="F75" s="10">
        <f>IF('muut muuttujat'!$G$3=1,D75,KÄYTTÖTAULU!$B$13)</f>
        <v>3148.82</v>
      </c>
      <c r="G75" s="10">
        <f>KÄYTTÖTAULU!$F$6</f>
        <v>0</v>
      </c>
      <c r="H75" s="10">
        <f>KÄYTTÖTAULU!$F$6</f>
        <v>0</v>
      </c>
      <c r="I75" s="10">
        <f t="shared" si="20"/>
        <v>0</v>
      </c>
      <c r="J75" s="10">
        <f t="shared" si="21"/>
        <v>0</v>
      </c>
      <c r="K75" s="1" t="e">
        <f>ROUND(I75/KÄYTTÖTAULU!$I$8,2)</f>
        <v>#DIV/0!</v>
      </c>
      <c r="L75" s="1" t="e">
        <f>ROUND(J75/KÄYTTÖTAULU!$I$8,2)</f>
        <v>#DIV/0!</v>
      </c>
      <c r="M75" s="1" t="e">
        <f t="shared" si="17"/>
        <v>#DIV/0!</v>
      </c>
      <c r="N75" s="1" t="e">
        <f t="shared" si="18"/>
        <v>#DIV/0!</v>
      </c>
      <c r="O75" s="10"/>
      <c r="P75" s="10"/>
      <c r="Q75" s="10"/>
      <c r="R75" s="17">
        <v>0</v>
      </c>
      <c r="S75" s="1">
        <v>6</v>
      </c>
      <c r="T75" s="1">
        <v>2</v>
      </c>
      <c r="U75" s="1">
        <v>10</v>
      </c>
      <c r="V75" s="1">
        <v>4</v>
      </c>
      <c r="W75" s="40">
        <v>6</v>
      </c>
      <c r="X75" s="1">
        <v>1</v>
      </c>
      <c r="Y75" s="1">
        <f t="shared" si="0"/>
        <v>1.06</v>
      </c>
      <c r="Z75" s="1">
        <f t="shared" si="1"/>
        <v>1.0812000000000002</v>
      </c>
      <c r="AA75" s="1">
        <f t="shared" si="2"/>
        <v>1.1893200000000004</v>
      </c>
      <c r="AB75" s="1">
        <f t="shared" si="19"/>
        <v>1.2368928000000003</v>
      </c>
      <c r="AC75" s="40">
        <f t="shared" si="4"/>
        <v>1.3111063680000004</v>
      </c>
      <c r="AE75" s="1">
        <v>0</v>
      </c>
      <c r="AF75" s="1">
        <v>6</v>
      </c>
      <c r="AG75" s="1">
        <v>2</v>
      </c>
      <c r="AH75" s="1">
        <v>10</v>
      </c>
      <c r="AI75" s="1">
        <v>4</v>
      </c>
      <c r="AJ75" s="1">
        <v>6</v>
      </c>
      <c r="AL75" s="1">
        <f t="shared" si="3"/>
        <v>0</v>
      </c>
    </row>
    <row r="76" spans="1:38" x14ac:dyDescent="0.3">
      <c r="A76" s="1">
        <v>71</v>
      </c>
      <c r="B76" s="9" t="s">
        <v>287</v>
      </c>
      <c r="C76" s="160">
        <f>VLOOKUP(MID(B76,1,8)-0,'1.6.2024'!$B$9:$G$160,3,FALSE)</f>
        <v>2682.87</v>
      </c>
      <c r="D76" s="160">
        <f>VLOOKUP(MID(B76,1,8)-0,'1.6.2024'!$B$9:$G$160,5,FALSE)</f>
        <v>2657.53</v>
      </c>
      <c r="E76" s="10">
        <f>IF('muut muuttujat'!$G$3=1,C76,KÄYTTÖTAULU!$B$13)</f>
        <v>2682.87</v>
      </c>
      <c r="F76" s="10">
        <f>IF('muut muuttujat'!$G$3=1,D76,KÄYTTÖTAULU!$B$13)</f>
        <v>2657.53</v>
      </c>
      <c r="G76" s="10">
        <f>KÄYTTÖTAULU!$F$6</f>
        <v>0</v>
      </c>
      <c r="H76" s="10">
        <f>KÄYTTÖTAULU!$F$6</f>
        <v>0</v>
      </c>
      <c r="I76" s="10">
        <f t="shared" si="20"/>
        <v>0</v>
      </c>
      <c r="J76" s="10">
        <f t="shared" si="21"/>
        <v>0</v>
      </c>
      <c r="K76" s="1" t="e">
        <f>ROUND(I76/KÄYTTÖTAULU!$I$8,2)</f>
        <v>#DIV/0!</v>
      </c>
      <c r="L76" s="1" t="e">
        <f>ROUND(J76/KÄYTTÖTAULU!$I$8,2)</f>
        <v>#DIV/0!</v>
      </c>
      <c r="M76" s="1" t="e">
        <f t="shared" si="17"/>
        <v>#DIV/0!</v>
      </c>
      <c r="N76" s="1" t="e">
        <f t="shared" si="18"/>
        <v>#DIV/0!</v>
      </c>
      <c r="O76" s="10"/>
      <c r="P76" s="10"/>
      <c r="Q76" s="10"/>
      <c r="R76" s="17">
        <v>0</v>
      </c>
      <c r="S76" s="1">
        <v>6</v>
      </c>
      <c r="T76" s="1">
        <v>2</v>
      </c>
      <c r="U76" s="1">
        <v>10</v>
      </c>
      <c r="V76" s="1">
        <v>4</v>
      </c>
      <c r="W76" s="40">
        <v>6</v>
      </c>
      <c r="X76" s="1">
        <v>1</v>
      </c>
      <c r="Y76" s="1">
        <f t="shared" si="0"/>
        <v>1.06</v>
      </c>
      <c r="Z76" s="1">
        <f t="shared" si="1"/>
        <v>1.0812000000000002</v>
      </c>
      <c r="AA76" s="1">
        <f t="shared" si="2"/>
        <v>1.1893200000000004</v>
      </c>
      <c r="AB76" s="1">
        <f t="shared" si="19"/>
        <v>1.2368928000000003</v>
      </c>
      <c r="AC76" s="40">
        <f t="shared" si="4"/>
        <v>1.3111063680000004</v>
      </c>
      <c r="AE76" s="1">
        <v>0</v>
      </c>
      <c r="AF76" s="1">
        <v>6</v>
      </c>
      <c r="AG76" s="1">
        <v>2</v>
      </c>
      <c r="AH76" s="1">
        <v>10</v>
      </c>
      <c r="AI76" s="1">
        <v>4</v>
      </c>
      <c r="AJ76" s="1">
        <v>6</v>
      </c>
      <c r="AL76" s="1">
        <f t="shared" ref="AL76:AL120" si="22">AG76-T76</f>
        <v>0</v>
      </c>
    </row>
    <row r="77" spans="1:38" x14ac:dyDescent="0.3">
      <c r="A77" s="1">
        <v>72</v>
      </c>
      <c r="B77" s="9" t="s">
        <v>288</v>
      </c>
      <c r="C77" s="160">
        <f>VLOOKUP(MID(B77,1,8)-0,'1.6.2024'!$B$9:$G$160,3,FALSE)</f>
        <v>2377.0300000000002</v>
      </c>
      <c r="D77" s="160">
        <f>VLOOKUP(MID(B77,1,8)-0,'1.6.2024'!$B$9:$G$160,5,FALSE)</f>
        <v>2355.04</v>
      </c>
      <c r="E77" s="10">
        <f>IF('muut muuttujat'!$G$3=1,C77,KÄYTTÖTAULU!$B$13)</f>
        <v>2377.0300000000002</v>
      </c>
      <c r="F77" s="10">
        <f>IF('muut muuttujat'!$G$3=1,D77,KÄYTTÖTAULU!$B$13)</f>
        <v>2355.04</v>
      </c>
      <c r="G77" s="10">
        <f>KÄYTTÖTAULU!$F$6</f>
        <v>0</v>
      </c>
      <c r="H77" s="10">
        <f>KÄYTTÖTAULU!$F$6</f>
        <v>0</v>
      </c>
      <c r="I77" s="10">
        <f t="shared" si="20"/>
        <v>0</v>
      </c>
      <c r="J77" s="10">
        <f t="shared" si="21"/>
        <v>0</v>
      </c>
      <c r="K77" s="1" t="e">
        <f>ROUND(I77/KÄYTTÖTAULU!$I$8,2)</f>
        <v>#DIV/0!</v>
      </c>
      <c r="L77" s="1" t="e">
        <f>ROUND(J77/KÄYTTÖTAULU!$I$8,2)</f>
        <v>#DIV/0!</v>
      </c>
      <c r="M77" s="1" t="e">
        <f t="shared" si="17"/>
        <v>#DIV/0!</v>
      </c>
      <c r="N77" s="1" t="e">
        <f t="shared" si="18"/>
        <v>#DIV/0!</v>
      </c>
      <c r="O77" s="10"/>
      <c r="P77" s="10"/>
      <c r="Q77" s="10"/>
      <c r="R77" s="17">
        <v>0</v>
      </c>
      <c r="S77" s="1">
        <v>6</v>
      </c>
      <c r="T77" s="1">
        <v>2</v>
      </c>
      <c r="U77" s="1">
        <v>10</v>
      </c>
      <c r="V77" s="1">
        <v>4</v>
      </c>
      <c r="W77" s="40">
        <v>6</v>
      </c>
      <c r="X77" s="1">
        <v>1</v>
      </c>
      <c r="Y77" s="1">
        <f t="shared" si="0"/>
        <v>1.06</v>
      </c>
      <c r="Z77" s="1">
        <f t="shared" si="1"/>
        <v>1.0812000000000002</v>
      </c>
      <c r="AA77" s="1">
        <f t="shared" si="2"/>
        <v>1.1893200000000004</v>
      </c>
      <c r="AB77" s="1">
        <f t="shared" si="19"/>
        <v>1.2368928000000003</v>
      </c>
      <c r="AC77" s="40">
        <f t="shared" si="4"/>
        <v>1.3111063680000004</v>
      </c>
      <c r="AE77" s="1">
        <v>0</v>
      </c>
      <c r="AF77" s="1">
        <v>6</v>
      </c>
      <c r="AG77" s="1">
        <v>2</v>
      </c>
      <c r="AH77" s="1">
        <v>10</v>
      </c>
      <c r="AI77" s="1">
        <v>4</v>
      </c>
      <c r="AJ77" s="1">
        <v>6</v>
      </c>
      <c r="AL77" s="1">
        <f t="shared" si="22"/>
        <v>0</v>
      </c>
    </row>
    <row r="78" spans="1:38" x14ac:dyDescent="0.3">
      <c r="A78" s="1">
        <v>73</v>
      </c>
      <c r="B78" s="9" t="s">
        <v>289</v>
      </c>
      <c r="C78" s="160">
        <f>VLOOKUP(MID(B78,1,8)-0,'1.6.2024'!$B$9:$G$160,3,FALSE)</f>
        <v>3330.92</v>
      </c>
      <c r="D78" s="160">
        <f>VLOOKUP(MID(B78,1,8)-0,'1.6.2024'!$B$9:$G$160,5,FALSE)</f>
        <v>3299.45</v>
      </c>
      <c r="E78" s="10">
        <f>IF('muut muuttujat'!$G$3=1,C78,KÄYTTÖTAULU!$B$13)</f>
        <v>3330.92</v>
      </c>
      <c r="F78" s="10">
        <f>IF('muut muuttujat'!$G$3=1,D78,KÄYTTÖTAULU!$B$13)</f>
        <v>3299.45</v>
      </c>
      <c r="G78" s="10">
        <f>KÄYTTÖTAULU!$F$6</f>
        <v>0</v>
      </c>
      <c r="H78" s="10">
        <f>KÄYTTÖTAULU!$F$6</f>
        <v>0</v>
      </c>
      <c r="I78" s="10">
        <f t="shared" si="20"/>
        <v>0</v>
      </c>
      <c r="J78" s="10">
        <f t="shared" si="21"/>
        <v>0</v>
      </c>
      <c r="K78" s="1" t="e">
        <f>ROUND(I78/KÄYTTÖTAULU!$I$8,2)</f>
        <v>#DIV/0!</v>
      </c>
      <c r="L78" s="1" t="e">
        <f>ROUND(J78/KÄYTTÖTAULU!$I$8,2)</f>
        <v>#DIV/0!</v>
      </c>
      <c r="M78" s="1" t="e">
        <f t="shared" si="17"/>
        <v>#DIV/0!</v>
      </c>
      <c r="N78" s="1" t="e">
        <f t="shared" si="18"/>
        <v>#DIV/0!</v>
      </c>
      <c r="O78" s="10" t="e">
        <f>ROUND(ROUND(E78*0.84/KÄYTTÖTAULU!$I$8*12/38,2)*0.96,2)</f>
        <v>#DIV/0!</v>
      </c>
      <c r="P78" s="10" t="e">
        <f>ROUND(ROUND(F78*0.84/KÄYTTÖTAULU!$I$8*12/38,2)*0.96,2)</f>
        <v>#DIV/0!</v>
      </c>
      <c r="Q78" s="10"/>
      <c r="R78" s="17">
        <v>0</v>
      </c>
      <c r="S78" s="1">
        <v>6</v>
      </c>
      <c r="T78" s="1">
        <v>2</v>
      </c>
      <c r="U78" s="1">
        <v>10</v>
      </c>
      <c r="V78" s="1">
        <v>4</v>
      </c>
      <c r="W78" s="40">
        <v>6</v>
      </c>
      <c r="X78" s="1">
        <v>1</v>
      </c>
      <c r="Y78" s="1">
        <f t="shared" si="0"/>
        <v>1.06</v>
      </c>
      <c r="Z78" s="1">
        <f t="shared" si="1"/>
        <v>1.0812000000000002</v>
      </c>
      <c r="AA78" s="1">
        <f t="shared" si="2"/>
        <v>1.1893200000000004</v>
      </c>
      <c r="AB78" s="1">
        <f t="shared" si="19"/>
        <v>1.2368928000000003</v>
      </c>
      <c r="AC78" s="40">
        <f t="shared" si="4"/>
        <v>1.3111063680000004</v>
      </c>
      <c r="AE78" s="1">
        <v>0</v>
      </c>
      <c r="AF78" s="1">
        <v>6</v>
      </c>
      <c r="AG78" s="1">
        <v>2</v>
      </c>
      <c r="AH78" s="1">
        <v>10</v>
      </c>
      <c r="AI78" s="1">
        <v>4</v>
      </c>
      <c r="AJ78" s="1">
        <v>6</v>
      </c>
      <c r="AL78" s="1">
        <f t="shared" si="22"/>
        <v>0</v>
      </c>
    </row>
    <row r="79" spans="1:38" x14ac:dyDescent="0.3">
      <c r="A79" s="1">
        <v>74</v>
      </c>
      <c r="B79" s="9" t="s">
        <v>290</v>
      </c>
      <c r="C79" s="160">
        <f>VLOOKUP(MID(B79,1,8)-0,'1.6.2024'!$B$9:$G$160,3,FALSE)</f>
        <v>2886.47</v>
      </c>
      <c r="D79" s="160">
        <f>VLOOKUP(MID(B79,1,8)-0,'1.6.2024'!$B$9:$G$160,5,FALSE)</f>
        <v>2859.16</v>
      </c>
      <c r="E79" s="10">
        <f>IF('muut muuttujat'!$G$3=1,C79,KÄYTTÖTAULU!$B$13)</f>
        <v>2886.47</v>
      </c>
      <c r="F79" s="10">
        <f>IF('muut muuttujat'!$G$3=1,D79,KÄYTTÖTAULU!$B$13)</f>
        <v>2859.16</v>
      </c>
      <c r="G79" s="10">
        <f>KÄYTTÖTAULU!$F$6</f>
        <v>0</v>
      </c>
      <c r="H79" s="10">
        <f>KÄYTTÖTAULU!$F$6</f>
        <v>0</v>
      </c>
      <c r="I79" s="10">
        <f t="shared" si="20"/>
        <v>0</v>
      </c>
      <c r="J79" s="10">
        <f t="shared" si="21"/>
        <v>0</v>
      </c>
      <c r="K79" s="1" t="e">
        <f>ROUND(I79/KÄYTTÖTAULU!$I$8,2)</f>
        <v>#DIV/0!</v>
      </c>
      <c r="L79" s="1" t="e">
        <f>ROUND(J79/KÄYTTÖTAULU!$I$8,2)</f>
        <v>#DIV/0!</v>
      </c>
      <c r="M79" s="1" t="e">
        <f t="shared" si="17"/>
        <v>#DIV/0!</v>
      </c>
      <c r="N79" s="1" t="e">
        <f t="shared" si="18"/>
        <v>#DIV/0!</v>
      </c>
      <c r="O79" s="10" t="e">
        <f>ROUND(ROUND(E79*0.84/KÄYTTÖTAULU!$I$8*12/38,2)*0.96,2)</f>
        <v>#DIV/0!</v>
      </c>
      <c r="P79" s="10" t="e">
        <f>ROUND(ROUND(F79*0.84/KÄYTTÖTAULU!$I$8*12/38,2)*0.96,2)</f>
        <v>#DIV/0!</v>
      </c>
      <c r="Q79" s="10"/>
      <c r="R79" s="17">
        <v>0</v>
      </c>
      <c r="S79" s="1">
        <v>6</v>
      </c>
      <c r="T79" s="1">
        <v>2</v>
      </c>
      <c r="U79" s="1">
        <v>10</v>
      </c>
      <c r="V79" s="1">
        <v>4</v>
      </c>
      <c r="W79" s="40">
        <v>6</v>
      </c>
      <c r="X79" s="1">
        <v>1</v>
      </c>
      <c r="Y79" s="1">
        <f t="shared" si="0"/>
        <v>1.06</v>
      </c>
      <c r="Z79" s="1">
        <f t="shared" si="1"/>
        <v>1.0812000000000002</v>
      </c>
      <c r="AA79" s="1">
        <f t="shared" si="2"/>
        <v>1.1893200000000004</v>
      </c>
      <c r="AB79" s="1">
        <f t="shared" si="19"/>
        <v>1.2368928000000003</v>
      </c>
      <c r="AC79" s="40">
        <f t="shared" si="4"/>
        <v>1.3111063680000004</v>
      </c>
      <c r="AE79" s="1">
        <v>0</v>
      </c>
      <c r="AF79" s="1">
        <v>6</v>
      </c>
      <c r="AG79" s="1">
        <v>2</v>
      </c>
      <c r="AH79" s="1">
        <v>10</v>
      </c>
      <c r="AI79" s="1">
        <v>4</v>
      </c>
      <c r="AJ79" s="1">
        <v>6</v>
      </c>
      <c r="AL79" s="1">
        <f t="shared" si="22"/>
        <v>0</v>
      </c>
    </row>
    <row r="80" spans="1:38" x14ac:dyDescent="0.3">
      <c r="A80" s="1">
        <v>75</v>
      </c>
      <c r="B80" s="9" t="s">
        <v>291</v>
      </c>
      <c r="C80" s="160">
        <f>VLOOKUP(MID(B80,1,8)-0,'1.6.2024'!$B$9:$G$160,3,FALSE)</f>
        <v>2564.2199999999998</v>
      </c>
      <c r="D80" s="160">
        <f>VLOOKUP(MID(B80,1,8)-0,'1.6.2024'!$B$9:$G$160,5,FALSE)</f>
        <v>2539.9699999999998</v>
      </c>
      <c r="E80" s="10">
        <f>IF('muut muuttujat'!$G$3=1,C80,KÄYTTÖTAULU!$B$13)</f>
        <v>2564.2199999999998</v>
      </c>
      <c r="F80" s="10">
        <f>IF('muut muuttujat'!$G$3=1,D80,KÄYTTÖTAULU!$B$13)</f>
        <v>2539.9699999999998</v>
      </c>
      <c r="G80" s="10">
        <f>KÄYTTÖTAULU!$F$6</f>
        <v>0</v>
      </c>
      <c r="H80" s="10">
        <f>KÄYTTÖTAULU!$F$6</f>
        <v>0</v>
      </c>
      <c r="I80" s="10">
        <f t="shared" si="20"/>
        <v>0</v>
      </c>
      <c r="J80" s="10">
        <f t="shared" si="21"/>
        <v>0</v>
      </c>
      <c r="K80" s="1" t="e">
        <f>ROUND(I80/KÄYTTÖTAULU!$I$8,2)</f>
        <v>#DIV/0!</v>
      </c>
      <c r="L80" s="1" t="e">
        <f>ROUND(J80/KÄYTTÖTAULU!$I$8,2)</f>
        <v>#DIV/0!</v>
      </c>
      <c r="M80" s="1" t="e">
        <f t="shared" si="17"/>
        <v>#DIV/0!</v>
      </c>
      <c r="N80" s="1" t="e">
        <f t="shared" si="18"/>
        <v>#DIV/0!</v>
      </c>
      <c r="O80" s="10" t="e">
        <f>ROUND(ROUND(E80*0.84/KÄYTTÖTAULU!$I$8*12/38,2)*0.96,2)</f>
        <v>#DIV/0!</v>
      </c>
      <c r="P80" s="10" t="e">
        <f>ROUND(ROUND(F80*0.84/KÄYTTÖTAULU!$I$8*12/38,2)*0.96,2)</f>
        <v>#DIV/0!</v>
      </c>
      <c r="Q80" s="10"/>
      <c r="R80" s="17">
        <v>0</v>
      </c>
      <c r="S80" s="1">
        <v>6</v>
      </c>
      <c r="T80" s="1">
        <v>2</v>
      </c>
      <c r="U80" s="1">
        <v>10</v>
      </c>
      <c r="V80" s="1">
        <v>4</v>
      </c>
      <c r="W80" s="40">
        <v>6</v>
      </c>
      <c r="X80" s="1">
        <v>1</v>
      </c>
      <c r="Y80" s="1">
        <f t="shared" si="0"/>
        <v>1.06</v>
      </c>
      <c r="Z80" s="1">
        <f t="shared" si="1"/>
        <v>1.0812000000000002</v>
      </c>
      <c r="AA80" s="1">
        <f t="shared" si="2"/>
        <v>1.1893200000000004</v>
      </c>
      <c r="AB80" s="1">
        <f t="shared" si="19"/>
        <v>1.2368928000000003</v>
      </c>
      <c r="AC80" s="40">
        <f t="shared" si="4"/>
        <v>1.3111063680000004</v>
      </c>
      <c r="AE80" s="1">
        <v>0</v>
      </c>
      <c r="AF80" s="1">
        <v>6</v>
      </c>
      <c r="AG80" s="1">
        <v>2</v>
      </c>
      <c r="AH80" s="1">
        <v>10</v>
      </c>
      <c r="AI80" s="1">
        <v>4</v>
      </c>
      <c r="AJ80" s="1">
        <v>6</v>
      </c>
      <c r="AL80" s="1">
        <f t="shared" si="22"/>
        <v>0</v>
      </c>
    </row>
    <row r="81" spans="1:38" x14ac:dyDescent="0.3">
      <c r="A81" s="1">
        <v>76</v>
      </c>
      <c r="B81" s="9" t="s">
        <v>292</v>
      </c>
      <c r="C81" s="160">
        <f>VLOOKUP(MID(B81,1,8)-0,'1.6.2024'!$B$9:$G$160,3,FALSE)</f>
        <v>2377.0300000000002</v>
      </c>
      <c r="D81" s="160">
        <f>VLOOKUP(MID(B81,1,8)-0,'1.6.2024'!$B$9:$G$160,5,FALSE)</f>
        <v>2355.04</v>
      </c>
      <c r="E81" s="10">
        <f>IF('muut muuttujat'!$G$3=1,C81,KÄYTTÖTAULU!$B$13)</f>
        <v>2377.0300000000002</v>
      </c>
      <c r="F81" s="10">
        <f>IF('muut muuttujat'!$G$3=1,D81,KÄYTTÖTAULU!$B$13)</f>
        <v>2355.04</v>
      </c>
      <c r="G81" s="10">
        <f>KÄYTTÖTAULU!$F$6</f>
        <v>0</v>
      </c>
      <c r="H81" s="10">
        <f>KÄYTTÖTAULU!$F$6</f>
        <v>0</v>
      </c>
      <c r="I81" s="10">
        <f t="shared" si="20"/>
        <v>0</v>
      </c>
      <c r="J81" s="10">
        <f t="shared" si="21"/>
        <v>0</v>
      </c>
      <c r="K81" s="1" t="e">
        <f>ROUND(I81/KÄYTTÖTAULU!$I$8,2)</f>
        <v>#DIV/0!</v>
      </c>
      <c r="L81" s="1" t="e">
        <f>ROUND(J81/KÄYTTÖTAULU!$I$8,2)</f>
        <v>#DIV/0!</v>
      </c>
      <c r="M81" s="1" t="e">
        <f>ROUND(K81*(12/38),2)</f>
        <v>#DIV/0!</v>
      </c>
      <c r="N81" s="1" t="e">
        <f>ROUND(L81*(12/38),2)</f>
        <v>#DIV/0!</v>
      </c>
      <c r="O81" s="10" t="e">
        <f>ROUND(ROUND(E81*0.84/KÄYTTÖTAULU!$I$8*12/38,2)*0.96,2)</f>
        <v>#DIV/0!</v>
      </c>
      <c r="P81" s="10" t="e">
        <f>ROUND(ROUND(F81*0.84/KÄYTTÖTAULU!$I$8*12/38,2)*0.96,2)</f>
        <v>#DIV/0!</v>
      </c>
      <c r="Q81" s="10"/>
      <c r="R81" s="17">
        <v>0</v>
      </c>
      <c r="S81" s="1">
        <v>6</v>
      </c>
      <c r="T81" s="1">
        <v>2</v>
      </c>
      <c r="U81" s="1">
        <v>10</v>
      </c>
      <c r="V81" s="1">
        <v>4</v>
      </c>
      <c r="W81" s="40">
        <v>6</v>
      </c>
      <c r="X81" s="1">
        <v>1</v>
      </c>
      <c r="Y81" s="1">
        <f t="shared" ref="Y81:Y92" si="23">1+S81/100</f>
        <v>1.06</v>
      </c>
      <c r="Z81" s="1">
        <f t="shared" ref="Z81:Z92" si="24">(1+T81/100)*Y81</f>
        <v>1.0812000000000002</v>
      </c>
      <c r="AA81" s="1">
        <f t="shared" ref="AA81:AA92" si="25">(1+U81/100)*Z81</f>
        <v>1.1893200000000004</v>
      </c>
      <c r="AB81" s="1">
        <f t="shared" si="19"/>
        <v>1.2368928000000003</v>
      </c>
      <c r="AC81" s="40">
        <f t="shared" si="4"/>
        <v>1.3111063680000004</v>
      </c>
      <c r="AE81" s="1">
        <v>0</v>
      </c>
      <c r="AF81" s="1">
        <v>6</v>
      </c>
      <c r="AG81" s="1">
        <v>2</v>
      </c>
      <c r="AH81" s="1">
        <v>10</v>
      </c>
      <c r="AI81" s="1">
        <v>4</v>
      </c>
      <c r="AJ81" s="1">
        <v>6</v>
      </c>
      <c r="AL81" s="1">
        <f t="shared" si="22"/>
        <v>0</v>
      </c>
    </row>
    <row r="82" spans="1:38" x14ac:dyDescent="0.3">
      <c r="A82" s="1">
        <v>77</v>
      </c>
      <c r="B82" s="9" t="s">
        <v>293</v>
      </c>
      <c r="C82" s="160">
        <f>VLOOKUP(MID(B82,1,8)-0,'1.6.2024'!$B$9:$G$160,3,FALSE)</f>
        <v>3330.92</v>
      </c>
      <c r="D82" s="160">
        <f>VLOOKUP(MID(B82,1,8)-0,'1.6.2024'!$B$9:$G$160,5,FALSE)</f>
        <v>3299.45</v>
      </c>
      <c r="E82" s="10">
        <f>IF('muut muuttujat'!$G$3=1,C82,KÄYTTÖTAULU!$B$13)</f>
        <v>3330.92</v>
      </c>
      <c r="F82" s="10">
        <f>IF('muut muuttujat'!$G$3=1,D82,KÄYTTÖTAULU!$B$13)</f>
        <v>3299.45</v>
      </c>
      <c r="G82" s="10">
        <f>KÄYTTÖTAULU!$F$6</f>
        <v>0</v>
      </c>
      <c r="H82" s="10">
        <f>KÄYTTÖTAULU!$F$6</f>
        <v>0</v>
      </c>
      <c r="I82" s="10">
        <f t="shared" si="20"/>
        <v>0</v>
      </c>
      <c r="J82" s="10">
        <f t="shared" si="21"/>
        <v>0</v>
      </c>
      <c r="K82" s="1" t="e">
        <f>ROUND(I82/KÄYTTÖTAULU!$I$8,2)</f>
        <v>#DIV/0!</v>
      </c>
      <c r="L82" s="1" t="e">
        <f>ROUND(J82/KÄYTTÖTAULU!$I$8,2)</f>
        <v>#DIV/0!</v>
      </c>
      <c r="M82" s="1" t="e">
        <f t="shared" ref="M82:N85" si="26">ROUND(K82*(12/33),2)</f>
        <v>#DIV/0!</v>
      </c>
      <c r="N82" s="1" t="e">
        <f t="shared" si="26"/>
        <v>#DIV/0!</v>
      </c>
      <c r="O82" s="10"/>
      <c r="P82" s="10"/>
      <c r="Q82" s="10"/>
      <c r="R82" s="17">
        <v>0</v>
      </c>
      <c r="S82" s="1">
        <v>6</v>
      </c>
      <c r="T82" s="1">
        <v>2</v>
      </c>
      <c r="U82" s="1">
        <v>10</v>
      </c>
      <c r="V82" s="1">
        <v>4</v>
      </c>
      <c r="W82" s="40">
        <v>6</v>
      </c>
      <c r="X82" s="1">
        <v>1</v>
      </c>
      <c r="Y82" s="1">
        <f t="shared" si="23"/>
        <v>1.06</v>
      </c>
      <c r="Z82" s="1">
        <f t="shared" si="24"/>
        <v>1.0812000000000002</v>
      </c>
      <c r="AA82" s="1">
        <f t="shared" si="25"/>
        <v>1.1893200000000004</v>
      </c>
      <c r="AB82" s="1">
        <f t="shared" si="19"/>
        <v>1.2368928000000003</v>
      </c>
      <c r="AC82" s="40">
        <f t="shared" ref="AC82:AC92" si="27">(1+W82/100)*AB82</f>
        <v>1.3111063680000004</v>
      </c>
      <c r="AE82" s="1">
        <v>0</v>
      </c>
      <c r="AF82" s="1">
        <v>6</v>
      </c>
      <c r="AG82" s="1">
        <v>2</v>
      </c>
      <c r="AH82" s="1">
        <v>10</v>
      </c>
      <c r="AI82" s="1">
        <v>4</v>
      </c>
      <c r="AJ82" s="1">
        <v>6</v>
      </c>
      <c r="AL82" s="1">
        <f t="shared" si="22"/>
        <v>0</v>
      </c>
    </row>
    <row r="83" spans="1:38" x14ac:dyDescent="0.3">
      <c r="A83" s="1">
        <v>78</v>
      </c>
      <c r="B83" s="9" t="s">
        <v>294</v>
      </c>
      <c r="C83" s="160">
        <f>VLOOKUP(MID(B83,1,8)-0,'1.6.2024'!$B$9:$G$160,3,FALSE)</f>
        <v>3175.83</v>
      </c>
      <c r="D83" s="160">
        <f>VLOOKUP(MID(B83,1,8)-0,'1.6.2024'!$B$9:$G$160,5,FALSE)</f>
        <v>3145.76</v>
      </c>
      <c r="E83" s="10">
        <f>IF('muut muuttujat'!$G$3=1,C83,KÄYTTÖTAULU!$B$13)</f>
        <v>3175.83</v>
      </c>
      <c r="F83" s="10">
        <f>IF('muut muuttujat'!$G$3=1,D83,KÄYTTÖTAULU!$B$13)</f>
        <v>3145.76</v>
      </c>
      <c r="G83" s="10">
        <f>KÄYTTÖTAULU!$F$6</f>
        <v>0</v>
      </c>
      <c r="H83" s="10">
        <f>KÄYTTÖTAULU!$F$6</f>
        <v>0</v>
      </c>
      <c r="I83" s="10">
        <f t="shared" si="20"/>
        <v>0</v>
      </c>
      <c r="J83" s="10">
        <f t="shared" si="21"/>
        <v>0</v>
      </c>
      <c r="K83" s="1" t="e">
        <f>ROUND(I83/KÄYTTÖTAULU!$I$8,2)</f>
        <v>#DIV/0!</v>
      </c>
      <c r="L83" s="1" t="e">
        <f>ROUND(J83/KÄYTTÖTAULU!$I$8,2)</f>
        <v>#DIV/0!</v>
      </c>
      <c r="M83" s="1" t="e">
        <f t="shared" si="26"/>
        <v>#DIV/0!</v>
      </c>
      <c r="N83" s="1" t="e">
        <f t="shared" si="26"/>
        <v>#DIV/0!</v>
      </c>
      <c r="O83" s="10"/>
      <c r="P83" s="10"/>
      <c r="Q83" s="10"/>
      <c r="R83" s="17">
        <v>0</v>
      </c>
      <c r="S83" s="1">
        <v>6</v>
      </c>
      <c r="T83" s="1">
        <v>2</v>
      </c>
      <c r="U83" s="1">
        <v>10</v>
      </c>
      <c r="V83" s="1">
        <v>4</v>
      </c>
      <c r="W83" s="40">
        <v>6</v>
      </c>
      <c r="X83" s="1">
        <v>1</v>
      </c>
      <c r="Y83" s="1">
        <f t="shared" si="23"/>
        <v>1.06</v>
      </c>
      <c r="Z83" s="1">
        <f t="shared" si="24"/>
        <v>1.0812000000000002</v>
      </c>
      <c r="AA83" s="1">
        <f t="shared" si="25"/>
        <v>1.1893200000000004</v>
      </c>
      <c r="AB83" s="1">
        <f t="shared" si="19"/>
        <v>1.2368928000000003</v>
      </c>
      <c r="AC83" s="40">
        <f t="shared" si="27"/>
        <v>1.3111063680000004</v>
      </c>
      <c r="AE83" s="1">
        <v>0</v>
      </c>
      <c r="AF83" s="1">
        <v>6</v>
      </c>
      <c r="AG83" s="1">
        <v>2</v>
      </c>
      <c r="AH83" s="1">
        <v>10</v>
      </c>
      <c r="AI83" s="1">
        <v>4</v>
      </c>
      <c r="AJ83" s="1">
        <v>6</v>
      </c>
      <c r="AL83" s="1">
        <f t="shared" si="22"/>
        <v>0</v>
      </c>
    </row>
    <row r="84" spans="1:38" x14ac:dyDescent="0.3">
      <c r="A84" s="1">
        <v>79</v>
      </c>
      <c r="B84" s="9" t="s">
        <v>295</v>
      </c>
      <c r="C84" s="160">
        <f>VLOOKUP(MID(B84,1,8)-0,'1.6.2024'!$B$9:$G$160,3,FALSE)</f>
        <v>2685.54</v>
      </c>
      <c r="D84" s="160">
        <f>VLOOKUP(MID(B84,1,8)-0,'1.6.2024'!$B$9:$G$160,5,FALSE)</f>
        <v>2660.18</v>
      </c>
      <c r="E84" s="10">
        <f>IF('muut muuttujat'!$G$3=1,C84,KÄYTTÖTAULU!$B$13)</f>
        <v>2685.54</v>
      </c>
      <c r="F84" s="10">
        <f>IF('muut muuttujat'!$G$3=1,D84,KÄYTTÖTAULU!$B$13)</f>
        <v>2660.18</v>
      </c>
      <c r="G84" s="10">
        <f>KÄYTTÖTAULU!$F$6</f>
        <v>0</v>
      </c>
      <c r="H84" s="10">
        <f>KÄYTTÖTAULU!$F$6</f>
        <v>0</v>
      </c>
      <c r="I84" s="10">
        <f t="shared" si="20"/>
        <v>0</v>
      </c>
      <c r="J84" s="10">
        <f t="shared" si="21"/>
        <v>0</v>
      </c>
      <c r="K84" s="1" t="e">
        <f>ROUND(I84/KÄYTTÖTAULU!$I$8,2)</f>
        <v>#DIV/0!</v>
      </c>
      <c r="L84" s="1" t="e">
        <f>ROUND(J84/KÄYTTÖTAULU!$I$8,2)</f>
        <v>#DIV/0!</v>
      </c>
      <c r="M84" s="1" t="e">
        <f t="shared" si="26"/>
        <v>#DIV/0!</v>
      </c>
      <c r="N84" s="1" t="e">
        <f t="shared" si="26"/>
        <v>#DIV/0!</v>
      </c>
      <c r="O84" s="10"/>
      <c r="P84" s="10"/>
      <c r="Q84" s="10"/>
      <c r="R84" s="17">
        <v>0</v>
      </c>
      <c r="S84" s="1">
        <v>6</v>
      </c>
      <c r="T84" s="1">
        <v>2</v>
      </c>
      <c r="U84" s="1">
        <v>10</v>
      </c>
      <c r="V84" s="1">
        <v>4</v>
      </c>
      <c r="W84" s="40">
        <v>6</v>
      </c>
      <c r="X84" s="1">
        <v>1</v>
      </c>
      <c r="Y84" s="1">
        <f t="shared" si="23"/>
        <v>1.06</v>
      </c>
      <c r="Z84" s="1">
        <f t="shared" si="24"/>
        <v>1.0812000000000002</v>
      </c>
      <c r="AA84" s="1">
        <f t="shared" si="25"/>
        <v>1.1893200000000004</v>
      </c>
      <c r="AB84" s="1">
        <f t="shared" si="19"/>
        <v>1.2368928000000003</v>
      </c>
      <c r="AC84" s="40">
        <f t="shared" si="27"/>
        <v>1.3111063680000004</v>
      </c>
      <c r="AE84" s="1">
        <v>0</v>
      </c>
      <c r="AF84" s="1">
        <v>6</v>
      </c>
      <c r="AG84" s="1">
        <v>2</v>
      </c>
      <c r="AH84" s="1">
        <v>10</v>
      </c>
      <c r="AI84" s="1">
        <v>4</v>
      </c>
      <c r="AJ84" s="1">
        <v>6</v>
      </c>
      <c r="AL84" s="1">
        <f t="shared" si="22"/>
        <v>0</v>
      </c>
    </row>
    <row r="85" spans="1:38" x14ac:dyDescent="0.3">
      <c r="A85" s="1">
        <v>80</v>
      </c>
      <c r="B85" s="9" t="s">
        <v>296</v>
      </c>
      <c r="C85" s="160">
        <f>VLOOKUP(MID(B85,1,8)-0,'1.6.2024'!$B$9:$G$160,3,FALSE)</f>
        <v>2378.1999999999998</v>
      </c>
      <c r="D85" s="160">
        <f>VLOOKUP(MID(B85,1,8)-0,'1.6.2024'!$B$9:$G$160,5,FALSE)</f>
        <v>2356.19</v>
      </c>
      <c r="E85" s="10">
        <f>IF('muut muuttujat'!$G$3=1,C85,KÄYTTÖTAULU!$B$13)</f>
        <v>2378.1999999999998</v>
      </c>
      <c r="F85" s="10">
        <f>IF('muut muuttujat'!$G$3=1,D85,KÄYTTÖTAULU!$B$13)</f>
        <v>2356.19</v>
      </c>
      <c r="G85" s="10">
        <f>KÄYTTÖTAULU!$F$6</f>
        <v>0</v>
      </c>
      <c r="H85" s="10">
        <f>KÄYTTÖTAULU!$F$6</f>
        <v>0</v>
      </c>
      <c r="I85" s="10">
        <f t="shared" si="20"/>
        <v>0</v>
      </c>
      <c r="J85" s="10">
        <f t="shared" si="21"/>
        <v>0</v>
      </c>
      <c r="K85" s="1" t="e">
        <f>ROUND(I85/KÄYTTÖTAULU!$I$8,2)</f>
        <v>#DIV/0!</v>
      </c>
      <c r="L85" s="1" t="e">
        <f>ROUND(J85/KÄYTTÖTAULU!$I$8,2)</f>
        <v>#DIV/0!</v>
      </c>
      <c r="M85" s="1" t="e">
        <f t="shared" si="26"/>
        <v>#DIV/0!</v>
      </c>
      <c r="N85" s="1" t="e">
        <f t="shared" si="26"/>
        <v>#DIV/0!</v>
      </c>
      <c r="O85" s="10"/>
      <c r="P85" s="10"/>
      <c r="Q85" s="10"/>
      <c r="R85" s="17">
        <v>0</v>
      </c>
      <c r="S85" s="1">
        <v>6</v>
      </c>
      <c r="T85" s="1">
        <v>2</v>
      </c>
      <c r="U85" s="1">
        <v>10</v>
      </c>
      <c r="V85" s="1">
        <v>4</v>
      </c>
      <c r="W85" s="40">
        <v>6</v>
      </c>
      <c r="X85" s="1">
        <v>1</v>
      </c>
      <c r="Y85" s="1">
        <f t="shared" si="23"/>
        <v>1.06</v>
      </c>
      <c r="Z85" s="1">
        <f t="shared" si="24"/>
        <v>1.0812000000000002</v>
      </c>
      <c r="AA85" s="1">
        <f t="shared" si="25"/>
        <v>1.1893200000000004</v>
      </c>
      <c r="AB85" s="1">
        <f t="shared" si="19"/>
        <v>1.2368928000000003</v>
      </c>
      <c r="AC85" s="40">
        <f t="shared" si="27"/>
        <v>1.3111063680000004</v>
      </c>
      <c r="AE85" s="1">
        <v>0</v>
      </c>
      <c r="AF85" s="1">
        <v>6</v>
      </c>
      <c r="AG85" s="1">
        <v>2</v>
      </c>
      <c r="AH85" s="1">
        <v>10</v>
      </c>
      <c r="AI85" s="1">
        <v>4</v>
      </c>
      <c r="AJ85" s="1">
        <v>6</v>
      </c>
      <c r="AL85" s="1">
        <f t="shared" si="22"/>
        <v>0</v>
      </c>
    </row>
    <row r="86" spans="1:38" x14ac:dyDescent="0.3">
      <c r="A86" s="1">
        <v>81</v>
      </c>
      <c r="B86" s="9" t="s">
        <v>297</v>
      </c>
      <c r="C86" s="160">
        <f>VLOOKUP(MID(B86,1,8)-0,'1.6.2024'!$B$9:$G$160,3,FALSE)</f>
        <v>3330.92</v>
      </c>
      <c r="D86" s="160">
        <f>VLOOKUP(MID(B86,1,8)-0,'1.6.2024'!$B$9:$G$160,5,FALSE)</f>
        <v>3299.45</v>
      </c>
      <c r="E86" s="10">
        <f>IF('muut muuttujat'!$G$3=1,C86,KÄYTTÖTAULU!$B$13)</f>
        <v>3330.92</v>
      </c>
      <c r="F86" s="10">
        <f>IF('muut muuttujat'!$G$3=1,D86,KÄYTTÖTAULU!$B$13)</f>
        <v>3299.45</v>
      </c>
      <c r="G86" s="10">
        <f>KÄYTTÖTAULU!$F$6</f>
        <v>0</v>
      </c>
      <c r="H86" s="10">
        <f>KÄYTTÖTAULU!$F$6</f>
        <v>0</v>
      </c>
      <c r="I86" s="10">
        <f t="shared" si="20"/>
        <v>0</v>
      </c>
      <c r="J86" s="10">
        <f t="shared" si="21"/>
        <v>0</v>
      </c>
      <c r="K86" s="1" t="e">
        <f>ROUND(I86/KÄYTTÖTAULU!$I$8,2)</f>
        <v>#DIV/0!</v>
      </c>
      <c r="L86" s="1" t="e">
        <f>ROUND(J86/KÄYTTÖTAULU!$I$8,2)</f>
        <v>#DIV/0!</v>
      </c>
      <c r="M86" s="1" t="e">
        <f t="shared" ref="M86:N89" si="28">ROUND(K86*(12/33),2)</f>
        <v>#DIV/0!</v>
      </c>
      <c r="N86" s="1" t="e">
        <f t="shared" si="28"/>
        <v>#DIV/0!</v>
      </c>
      <c r="O86" s="10" t="e">
        <f>ROUND(ROUND(E86*0.84/KÄYTTÖTAULU!$I$8*12/33,2)*0.96,2)</f>
        <v>#DIV/0!</v>
      </c>
      <c r="P86" s="10" t="e">
        <f>ROUND(ROUND(F86*0.84/KÄYTTÖTAULU!$I$8*12/33,2)*0.96,2)</f>
        <v>#DIV/0!</v>
      </c>
      <c r="Q86" s="10"/>
      <c r="R86" s="17">
        <v>0</v>
      </c>
      <c r="S86" s="1">
        <v>6</v>
      </c>
      <c r="T86" s="1">
        <v>2</v>
      </c>
      <c r="U86" s="1">
        <v>10</v>
      </c>
      <c r="V86" s="1">
        <v>4</v>
      </c>
      <c r="W86" s="40">
        <v>6</v>
      </c>
      <c r="X86" s="1">
        <v>1</v>
      </c>
      <c r="Y86" s="1">
        <f t="shared" si="23"/>
        <v>1.06</v>
      </c>
      <c r="Z86" s="1">
        <f t="shared" si="24"/>
        <v>1.0812000000000002</v>
      </c>
      <c r="AA86" s="1">
        <f t="shared" si="25"/>
        <v>1.1893200000000004</v>
      </c>
      <c r="AB86" s="1">
        <f t="shared" si="19"/>
        <v>1.2368928000000003</v>
      </c>
      <c r="AC86" s="40">
        <f t="shared" si="27"/>
        <v>1.3111063680000004</v>
      </c>
      <c r="AE86" s="1">
        <v>0</v>
      </c>
      <c r="AF86" s="1">
        <v>6</v>
      </c>
      <c r="AG86" s="1">
        <v>2</v>
      </c>
      <c r="AH86" s="1">
        <v>10</v>
      </c>
      <c r="AI86" s="1">
        <v>4</v>
      </c>
      <c r="AJ86" s="1">
        <v>6</v>
      </c>
      <c r="AL86" s="1">
        <f t="shared" si="22"/>
        <v>0</v>
      </c>
    </row>
    <row r="87" spans="1:38" x14ac:dyDescent="0.3">
      <c r="A87" s="1">
        <v>82</v>
      </c>
      <c r="B87" s="9" t="s">
        <v>298</v>
      </c>
      <c r="C87" s="160">
        <f>VLOOKUP(MID(B87,1,8)-0,'1.6.2024'!$B$9:$G$160,3,FALSE)</f>
        <v>2886.47</v>
      </c>
      <c r="D87" s="160">
        <f>VLOOKUP(MID(B87,1,8)-0,'1.6.2024'!$B$9:$G$160,5,FALSE)</f>
        <v>2859.16</v>
      </c>
      <c r="E87" s="10">
        <f>IF('muut muuttujat'!$G$3=1,C87,KÄYTTÖTAULU!$B$13)</f>
        <v>2886.47</v>
      </c>
      <c r="F87" s="10">
        <f>IF('muut muuttujat'!$G$3=1,D87,KÄYTTÖTAULU!$B$13)</f>
        <v>2859.16</v>
      </c>
      <c r="G87" s="10">
        <f>KÄYTTÖTAULU!$F$6</f>
        <v>0</v>
      </c>
      <c r="H87" s="10">
        <f>KÄYTTÖTAULU!$F$6</f>
        <v>0</v>
      </c>
      <c r="I87" s="10">
        <f t="shared" si="20"/>
        <v>0</v>
      </c>
      <c r="J87" s="10">
        <f t="shared" si="21"/>
        <v>0</v>
      </c>
      <c r="K87" s="1" t="e">
        <f>ROUND(I87/KÄYTTÖTAULU!$I$8,2)</f>
        <v>#DIV/0!</v>
      </c>
      <c r="L87" s="1" t="e">
        <f>ROUND(J87/KÄYTTÖTAULU!$I$8,2)</f>
        <v>#DIV/0!</v>
      </c>
      <c r="M87" s="1" t="e">
        <f t="shared" si="28"/>
        <v>#DIV/0!</v>
      </c>
      <c r="N87" s="1" t="e">
        <f t="shared" si="28"/>
        <v>#DIV/0!</v>
      </c>
      <c r="O87" s="10" t="e">
        <f>ROUND(ROUND(E87*0.84/KÄYTTÖTAULU!$I$8*12/33,2)*0.96,2)</f>
        <v>#DIV/0!</v>
      </c>
      <c r="P87" s="10" t="e">
        <f>ROUND(ROUND(F87*0.84/KÄYTTÖTAULU!$I$8*12/33,2)*0.96,2)</f>
        <v>#DIV/0!</v>
      </c>
      <c r="Q87" s="10"/>
      <c r="R87" s="17">
        <v>0</v>
      </c>
      <c r="S87" s="1">
        <v>6</v>
      </c>
      <c r="T87" s="1">
        <v>2</v>
      </c>
      <c r="U87" s="1">
        <v>10</v>
      </c>
      <c r="V87" s="1">
        <v>4</v>
      </c>
      <c r="W87" s="40">
        <v>6</v>
      </c>
      <c r="X87" s="1">
        <v>1</v>
      </c>
      <c r="Y87" s="1">
        <f t="shared" si="23"/>
        <v>1.06</v>
      </c>
      <c r="Z87" s="1">
        <f t="shared" si="24"/>
        <v>1.0812000000000002</v>
      </c>
      <c r="AA87" s="1">
        <f t="shared" si="25"/>
        <v>1.1893200000000004</v>
      </c>
      <c r="AB87" s="1">
        <f t="shared" si="19"/>
        <v>1.2368928000000003</v>
      </c>
      <c r="AC87" s="40">
        <f t="shared" si="27"/>
        <v>1.3111063680000004</v>
      </c>
      <c r="AE87" s="1">
        <v>0</v>
      </c>
      <c r="AF87" s="1">
        <v>6</v>
      </c>
      <c r="AG87" s="1">
        <v>2</v>
      </c>
      <c r="AH87" s="1">
        <v>10</v>
      </c>
      <c r="AI87" s="1">
        <v>4</v>
      </c>
      <c r="AJ87" s="1">
        <v>6</v>
      </c>
      <c r="AL87" s="1">
        <f t="shared" si="22"/>
        <v>0</v>
      </c>
    </row>
    <row r="88" spans="1:38" x14ac:dyDescent="0.3">
      <c r="A88" s="1">
        <v>83</v>
      </c>
      <c r="B88" s="9" t="s">
        <v>299</v>
      </c>
      <c r="C88" s="160">
        <f>VLOOKUP(MID(B88,1,8)-0,'1.6.2024'!$B$9:$G$160,3,FALSE)</f>
        <v>2564.2199999999998</v>
      </c>
      <c r="D88" s="160">
        <f>VLOOKUP(MID(B88,1,8)-0,'1.6.2024'!$B$9:$G$160,5,FALSE)</f>
        <v>2539.9699999999998</v>
      </c>
      <c r="E88" s="10">
        <f>IF('muut muuttujat'!$G$3=1,C88,KÄYTTÖTAULU!$B$13)</f>
        <v>2564.2199999999998</v>
      </c>
      <c r="F88" s="10">
        <f>IF('muut muuttujat'!$G$3=1,D88,KÄYTTÖTAULU!$B$13)</f>
        <v>2539.9699999999998</v>
      </c>
      <c r="G88" s="10">
        <f>KÄYTTÖTAULU!$F$6</f>
        <v>0</v>
      </c>
      <c r="H88" s="10">
        <f>KÄYTTÖTAULU!$F$6</f>
        <v>0</v>
      </c>
      <c r="I88" s="10">
        <f t="shared" si="20"/>
        <v>0</v>
      </c>
      <c r="J88" s="10">
        <f t="shared" si="21"/>
        <v>0</v>
      </c>
      <c r="K88" s="1" t="e">
        <f>ROUND(I88/KÄYTTÖTAULU!$I$8,2)</f>
        <v>#DIV/0!</v>
      </c>
      <c r="L88" s="1" t="e">
        <f>ROUND(J88/KÄYTTÖTAULU!$I$8,2)</f>
        <v>#DIV/0!</v>
      </c>
      <c r="M88" s="1" t="e">
        <f t="shared" si="28"/>
        <v>#DIV/0!</v>
      </c>
      <c r="N88" s="1" t="e">
        <f t="shared" si="28"/>
        <v>#DIV/0!</v>
      </c>
      <c r="O88" s="10" t="e">
        <f>ROUND(ROUND(E88*0.84/KÄYTTÖTAULU!$I$8*12/33,2)*0.96,2)</f>
        <v>#DIV/0!</v>
      </c>
      <c r="P88" s="10" t="e">
        <f>ROUND(ROUND(F88*0.84/KÄYTTÖTAULU!$I$8*12/33,2)*0.96,2)</f>
        <v>#DIV/0!</v>
      </c>
      <c r="Q88" s="10"/>
      <c r="R88" s="17">
        <v>0</v>
      </c>
      <c r="S88" s="1">
        <v>6</v>
      </c>
      <c r="T88" s="1">
        <v>2</v>
      </c>
      <c r="U88" s="1">
        <v>10</v>
      </c>
      <c r="V88" s="1">
        <v>4</v>
      </c>
      <c r="W88" s="40">
        <v>6</v>
      </c>
      <c r="X88" s="1">
        <v>1</v>
      </c>
      <c r="Y88" s="1">
        <f t="shared" si="23"/>
        <v>1.06</v>
      </c>
      <c r="Z88" s="1">
        <f t="shared" si="24"/>
        <v>1.0812000000000002</v>
      </c>
      <c r="AA88" s="1">
        <f t="shared" si="25"/>
        <v>1.1893200000000004</v>
      </c>
      <c r="AB88" s="1">
        <f t="shared" si="19"/>
        <v>1.2368928000000003</v>
      </c>
      <c r="AC88" s="40">
        <f t="shared" si="27"/>
        <v>1.3111063680000004</v>
      </c>
      <c r="AE88" s="1">
        <v>0</v>
      </c>
      <c r="AF88" s="1">
        <v>6</v>
      </c>
      <c r="AG88" s="1">
        <v>2</v>
      </c>
      <c r="AH88" s="1">
        <v>10</v>
      </c>
      <c r="AI88" s="1">
        <v>4</v>
      </c>
      <c r="AJ88" s="1">
        <v>6</v>
      </c>
      <c r="AL88" s="1">
        <f t="shared" si="22"/>
        <v>0</v>
      </c>
    </row>
    <row r="89" spans="1:38" x14ac:dyDescent="0.3">
      <c r="A89" s="1">
        <v>84</v>
      </c>
      <c r="B89" s="9" t="s">
        <v>300</v>
      </c>
      <c r="C89" s="160">
        <f>VLOOKUP(MID(B89,1,8)-0,'1.6.2024'!$B$9:$G$160,3,FALSE)</f>
        <v>2377.0300000000002</v>
      </c>
      <c r="D89" s="160">
        <f>VLOOKUP(MID(B89,1,8)-0,'1.6.2024'!$B$9:$G$160,5,FALSE)</f>
        <v>2355.04</v>
      </c>
      <c r="E89" s="10">
        <f>IF('muut muuttujat'!$G$3=1,C89,KÄYTTÖTAULU!$B$13)</f>
        <v>2377.0300000000002</v>
      </c>
      <c r="F89" s="10">
        <f>IF('muut muuttujat'!$G$3=1,D89,KÄYTTÖTAULU!$B$13)</f>
        <v>2355.04</v>
      </c>
      <c r="G89" s="10">
        <f>KÄYTTÖTAULU!$F$6</f>
        <v>0</v>
      </c>
      <c r="H89" s="10">
        <f>KÄYTTÖTAULU!$F$6</f>
        <v>0</v>
      </c>
      <c r="I89" s="10">
        <f>G89*0.84</f>
        <v>0</v>
      </c>
      <c r="J89" s="10">
        <f t="shared" si="21"/>
        <v>0</v>
      </c>
      <c r="K89" s="1" t="e">
        <f>ROUND(I89/KÄYTTÖTAULU!$I$8,2)</f>
        <v>#DIV/0!</v>
      </c>
      <c r="L89" s="1" t="e">
        <f>ROUND(J89/KÄYTTÖTAULU!$I$8,2)</f>
        <v>#DIV/0!</v>
      </c>
      <c r="M89" s="1" t="e">
        <f t="shared" si="28"/>
        <v>#DIV/0!</v>
      </c>
      <c r="N89" s="1" t="e">
        <f t="shared" si="28"/>
        <v>#DIV/0!</v>
      </c>
      <c r="O89" s="10" t="e">
        <f>ROUND(ROUND(E89*0.84/KÄYTTÖTAULU!$I$8*12/33,2)*0.96,2)</f>
        <v>#DIV/0!</v>
      </c>
      <c r="P89" s="10" t="e">
        <f>ROUND(ROUND(F89*0.84/KÄYTTÖTAULU!$I$8*12/33,2)*0.96,2)</f>
        <v>#DIV/0!</v>
      </c>
      <c r="Q89" s="10"/>
      <c r="R89" s="17">
        <v>0</v>
      </c>
      <c r="S89" s="1">
        <v>6</v>
      </c>
      <c r="T89" s="1">
        <v>2</v>
      </c>
      <c r="U89" s="1">
        <v>10</v>
      </c>
      <c r="V89" s="1">
        <v>4</v>
      </c>
      <c r="W89" s="40">
        <v>6</v>
      </c>
      <c r="X89" s="1">
        <v>1</v>
      </c>
      <c r="Y89" s="1">
        <f t="shared" si="23"/>
        <v>1.06</v>
      </c>
      <c r="Z89" s="1">
        <f t="shared" si="24"/>
        <v>1.0812000000000002</v>
      </c>
      <c r="AA89" s="1">
        <f t="shared" si="25"/>
        <v>1.1893200000000004</v>
      </c>
      <c r="AB89" s="1">
        <f t="shared" si="19"/>
        <v>1.2368928000000003</v>
      </c>
      <c r="AC89" s="40">
        <f t="shared" si="27"/>
        <v>1.3111063680000004</v>
      </c>
      <c r="AE89" s="1">
        <v>0</v>
      </c>
      <c r="AF89" s="1">
        <v>6</v>
      </c>
      <c r="AG89" s="1">
        <v>2</v>
      </c>
      <c r="AH89" s="1">
        <v>10</v>
      </c>
      <c r="AI89" s="1">
        <v>4</v>
      </c>
      <c r="AJ89" s="1">
        <v>6</v>
      </c>
      <c r="AL89" s="1">
        <f t="shared" si="22"/>
        <v>0</v>
      </c>
    </row>
    <row r="90" spans="1:38" x14ac:dyDescent="0.3">
      <c r="A90" s="1">
        <v>85</v>
      </c>
      <c r="B90" s="9" t="s">
        <v>301</v>
      </c>
      <c r="C90" s="160">
        <f>VLOOKUP(MID(B90,1,8)-0,'1.6.2024'!$B$9:$G$160,3,FALSE)</f>
        <v>4339.8900000000003</v>
      </c>
      <c r="D90" s="160">
        <f>VLOOKUP(MID(B90,1,8)-0,'1.6.2024'!$B$9:$G$160,5,FALSE)</f>
        <v>4298.3</v>
      </c>
      <c r="E90" s="10">
        <f>IF('muut muuttujat'!$G$3=1,C90,KÄYTTÖTAULU!$B$13)</f>
        <v>4339.8900000000003</v>
      </c>
      <c r="F90" s="10">
        <f>IF('muut muuttujat'!$G$3=1,D90,KÄYTTÖTAULU!$B$13)</f>
        <v>4298.3</v>
      </c>
      <c r="G90" s="10">
        <f>KÄYTTÖTAULU!$F$6</f>
        <v>0</v>
      </c>
      <c r="H90" s="10">
        <f>KÄYTTÖTAULU!$F$6</f>
        <v>0</v>
      </c>
      <c r="I90" s="10"/>
      <c r="J90" s="10"/>
      <c r="O90" s="10"/>
      <c r="P90" s="10"/>
      <c r="Q90" s="10"/>
      <c r="R90" s="17">
        <v>0</v>
      </c>
      <c r="S90" s="1">
        <v>0</v>
      </c>
      <c r="T90" s="1">
        <v>0</v>
      </c>
      <c r="U90" s="1">
        <v>5</v>
      </c>
      <c r="V90" s="1">
        <v>4</v>
      </c>
      <c r="W90" s="40">
        <v>4</v>
      </c>
      <c r="X90" s="1">
        <v>1</v>
      </c>
      <c r="Y90" s="1">
        <f t="shared" si="23"/>
        <v>1</v>
      </c>
      <c r="Z90" s="1">
        <f t="shared" si="24"/>
        <v>1</v>
      </c>
      <c r="AA90" s="1">
        <f t="shared" si="25"/>
        <v>1.05</v>
      </c>
      <c r="AB90" s="1">
        <f t="shared" si="19"/>
        <v>1.0920000000000001</v>
      </c>
      <c r="AC90" s="40">
        <f t="shared" si="27"/>
        <v>1.13568</v>
      </c>
      <c r="AE90" s="1">
        <v>0</v>
      </c>
      <c r="AF90" s="1">
        <v>0</v>
      </c>
      <c r="AG90" s="1">
        <v>0</v>
      </c>
      <c r="AH90" s="1">
        <v>5</v>
      </c>
      <c r="AI90" s="1">
        <v>4</v>
      </c>
      <c r="AJ90" s="1">
        <v>4</v>
      </c>
      <c r="AL90" s="1">
        <f t="shared" si="22"/>
        <v>0</v>
      </c>
    </row>
    <row r="91" spans="1:38" x14ac:dyDescent="0.3">
      <c r="A91" s="1">
        <v>86</v>
      </c>
      <c r="B91" s="9" t="s">
        <v>302</v>
      </c>
      <c r="C91" s="160">
        <f>VLOOKUP(MID(B91,1,8)-0,'1.6.2024'!$B$9:$G$160,3,FALSE)</f>
        <v>4121.25</v>
      </c>
      <c r="D91" s="160">
        <f>VLOOKUP(MID(B91,1,8)-0,'1.6.2024'!$B$9:$G$160,5,FALSE)</f>
        <v>4081.64</v>
      </c>
      <c r="E91" s="10">
        <f>IF('muut muuttujat'!$G$3=1,C91,KÄYTTÖTAULU!$B$13)</f>
        <v>4121.25</v>
      </c>
      <c r="F91" s="10">
        <f>IF('muut muuttujat'!$G$3=1,D91,KÄYTTÖTAULU!$B$13)</f>
        <v>4081.64</v>
      </c>
      <c r="G91" s="10">
        <f>KÄYTTÖTAULU!$F$6</f>
        <v>0</v>
      </c>
      <c r="H91" s="10">
        <f>KÄYTTÖTAULU!$F$6</f>
        <v>0</v>
      </c>
      <c r="I91" s="10"/>
      <c r="J91" s="10"/>
      <c r="O91" s="10"/>
      <c r="P91" s="10"/>
      <c r="Q91" s="10"/>
      <c r="R91" s="17">
        <v>0</v>
      </c>
      <c r="S91" s="1">
        <v>0</v>
      </c>
      <c r="T91" s="1">
        <v>0</v>
      </c>
      <c r="U91" s="1">
        <v>5</v>
      </c>
      <c r="V91" s="1">
        <v>4</v>
      </c>
      <c r="W91" s="40">
        <v>4</v>
      </c>
      <c r="X91" s="1">
        <v>1</v>
      </c>
      <c r="Y91" s="1">
        <f t="shared" si="23"/>
        <v>1</v>
      </c>
      <c r="Z91" s="1">
        <f t="shared" si="24"/>
        <v>1</v>
      </c>
      <c r="AA91" s="1">
        <f t="shared" si="25"/>
        <v>1.05</v>
      </c>
      <c r="AB91" s="1">
        <f t="shared" si="19"/>
        <v>1.0920000000000001</v>
      </c>
      <c r="AC91" s="40">
        <f t="shared" si="27"/>
        <v>1.13568</v>
      </c>
      <c r="AE91" s="1">
        <v>0</v>
      </c>
      <c r="AF91" s="1">
        <v>0</v>
      </c>
      <c r="AG91" s="1">
        <v>0</v>
      </c>
      <c r="AH91" s="1">
        <v>5</v>
      </c>
      <c r="AI91" s="1">
        <v>4</v>
      </c>
      <c r="AJ91" s="1">
        <v>4</v>
      </c>
      <c r="AL91" s="1">
        <f t="shared" si="22"/>
        <v>0</v>
      </c>
    </row>
    <row r="92" spans="1:38" x14ac:dyDescent="0.3">
      <c r="A92" s="1">
        <v>87</v>
      </c>
      <c r="B92" s="9" t="s">
        <v>303</v>
      </c>
      <c r="C92" s="160">
        <f>VLOOKUP(MID(B92,1,8)-0,'1.6.2024'!$B$9:$G$160,3,FALSE)</f>
        <v>3978.63</v>
      </c>
      <c r="D92" s="160">
        <f>VLOOKUP(MID(B92,1,8)-0,'1.6.2024'!$B$9:$G$160,5,FALSE)</f>
        <v>3940.08</v>
      </c>
      <c r="E92" s="10">
        <f>IF('muut muuttujat'!$G$3=1,C92,KÄYTTÖTAULU!$B$13)</f>
        <v>3978.63</v>
      </c>
      <c r="F92" s="10">
        <f>IF('muut muuttujat'!$G$3=1,D92,KÄYTTÖTAULU!$B$13)</f>
        <v>3940.08</v>
      </c>
      <c r="G92" s="10">
        <f>KÄYTTÖTAULU!$F$6</f>
        <v>0</v>
      </c>
      <c r="H92" s="10">
        <f>KÄYTTÖTAULU!$F$6</f>
        <v>0</v>
      </c>
      <c r="I92" s="10"/>
      <c r="J92" s="10"/>
      <c r="O92" s="10"/>
      <c r="P92" s="10"/>
      <c r="Q92" s="10"/>
      <c r="R92" s="17">
        <v>0</v>
      </c>
      <c r="S92" s="1">
        <v>0</v>
      </c>
      <c r="T92" s="1">
        <v>0</v>
      </c>
      <c r="U92" s="1">
        <v>5</v>
      </c>
      <c r="V92" s="1">
        <v>4</v>
      </c>
      <c r="W92" s="40">
        <v>4</v>
      </c>
      <c r="X92" s="1">
        <v>1</v>
      </c>
      <c r="Y92" s="1">
        <f t="shared" si="23"/>
        <v>1</v>
      </c>
      <c r="Z92" s="1">
        <f t="shared" si="24"/>
        <v>1</v>
      </c>
      <c r="AA92" s="1">
        <f t="shared" si="25"/>
        <v>1.05</v>
      </c>
      <c r="AB92" s="1">
        <f t="shared" si="19"/>
        <v>1.0920000000000001</v>
      </c>
      <c r="AC92" s="40">
        <f t="shared" si="27"/>
        <v>1.13568</v>
      </c>
      <c r="AE92" s="1">
        <v>0</v>
      </c>
      <c r="AF92" s="1">
        <v>0</v>
      </c>
      <c r="AG92" s="1">
        <v>0</v>
      </c>
      <c r="AH92" s="1">
        <v>5</v>
      </c>
      <c r="AI92" s="1">
        <v>4</v>
      </c>
      <c r="AJ92" s="1">
        <v>4</v>
      </c>
      <c r="AL92" s="1">
        <f t="shared" si="22"/>
        <v>0</v>
      </c>
    </row>
    <row r="93" spans="1:38" x14ac:dyDescent="0.3">
      <c r="A93" s="1">
        <v>88</v>
      </c>
      <c r="B93" s="9" t="s">
        <v>304</v>
      </c>
      <c r="C93" s="160">
        <f>VLOOKUP(MID(B93,1,8)-0,'1.6.2024'!$B$9:$G$160,3,FALSE)</f>
        <v>4017.55</v>
      </c>
      <c r="D93" s="160">
        <f>VLOOKUP(MID(B93,1,8)-0,'1.6.2024'!$B$9:$G$160,5,FALSE)</f>
        <v>3978.99</v>
      </c>
      <c r="E93" s="10">
        <f>IF('muut muuttujat'!$G$3=1,C93,KÄYTTÖTAULU!$B$13)</f>
        <v>4017.55</v>
      </c>
      <c r="F93" s="10">
        <f>IF('muut muuttujat'!$G$3=1,D93,KÄYTTÖTAULU!$B$13)</f>
        <v>3978.99</v>
      </c>
      <c r="G93" s="10">
        <f>KÄYTTÖTAULU!$F$6</f>
        <v>0</v>
      </c>
      <c r="H93" s="10">
        <f>KÄYTTÖTAULU!$F$6</f>
        <v>0</v>
      </c>
      <c r="I93" s="10"/>
      <c r="J93" s="10"/>
      <c r="O93" s="10"/>
      <c r="P93" s="10"/>
      <c r="Q93" s="10"/>
      <c r="R93" s="17">
        <v>0</v>
      </c>
      <c r="S93" s="1">
        <v>0</v>
      </c>
      <c r="T93" s="1">
        <v>0</v>
      </c>
      <c r="U93" s="1">
        <v>5</v>
      </c>
      <c r="V93" s="1">
        <v>4</v>
      </c>
      <c r="W93" s="40">
        <v>6</v>
      </c>
      <c r="X93" s="1">
        <v>1</v>
      </c>
      <c r="Y93" s="1">
        <f t="shared" ref="Y93:Y115" si="29">1+S93/100</f>
        <v>1</v>
      </c>
      <c r="Z93" s="1">
        <f t="shared" ref="Z93:Z114" si="30">(1+T93/100)*Y93</f>
        <v>1</v>
      </c>
      <c r="AA93" s="1">
        <f t="shared" ref="AA93:AA114" si="31">(1+U93/100)*Z93</f>
        <v>1.05</v>
      </c>
      <c r="AB93" s="1">
        <f t="shared" ref="AB93:AB115" si="32">(1+V93/100)*AA93</f>
        <v>1.0920000000000001</v>
      </c>
      <c r="AC93" s="40">
        <f t="shared" ref="AC93:AC115" si="33">(1+W93/100)*AB93</f>
        <v>1.1575200000000001</v>
      </c>
      <c r="AE93" s="1">
        <v>0</v>
      </c>
      <c r="AF93" s="1">
        <v>0</v>
      </c>
      <c r="AG93" s="1">
        <v>0</v>
      </c>
      <c r="AH93" s="1">
        <v>5</v>
      </c>
      <c r="AI93" s="1">
        <v>4</v>
      </c>
      <c r="AJ93" s="1">
        <v>6</v>
      </c>
      <c r="AL93" s="1">
        <f t="shared" si="22"/>
        <v>0</v>
      </c>
    </row>
    <row r="94" spans="1:38" x14ac:dyDescent="0.3">
      <c r="A94" s="1">
        <v>89</v>
      </c>
      <c r="B94" s="9" t="s">
        <v>305</v>
      </c>
      <c r="C94" s="160">
        <f>VLOOKUP(MID(B94,1,8)-0,'1.6.2024'!$B$9:$G$160,3,FALSE)</f>
        <v>3615.33</v>
      </c>
      <c r="D94" s="160">
        <f>VLOOKUP(MID(B94,1,8)-0,'1.6.2024'!$B$9:$G$160,5,FALSE)</f>
        <v>3580.59</v>
      </c>
      <c r="E94" s="10">
        <f>IF('muut muuttujat'!$G$3=1,C94,KÄYTTÖTAULU!$B$13)</f>
        <v>3615.33</v>
      </c>
      <c r="F94" s="10">
        <f>IF('muut muuttujat'!$G$3=1,D94,KÄYTTÖTAULU!$B$13)</f>
        <v>3580.59</v>
      </c>
      <c r="G94" s="10">
        <f>KÄYTTÖTAULU!$F$6</f>
        <v>0</v>
      </c>
      <c r="H94" s="10">
        <f>KÄYTTÖTAULU!$F$6</f>
        <v>0</v>
      </c>
      <c r="I94" s="10"/>
      <c r="J94" s="10"/>
      <c r="O94" s="10"/>
      <c r="P94" s="10"/>
      <c r="Q94" s="10"/>
      <c r="R94" s="17">
        <v>0</v>
      </c>
      <c r="S94" s="1">
        <v>0</v>
      </c>
      <c r="T94" s="1">
        <v>0</v>
      </c>
      <c r="U94" s="1">
        <v>5</v>
      </c>
      <c r="V94" s="1">
        <v>4</v>
      </c>
      <c r="W94" s="40">
        <v>6</v>
      </c>
      <c r="X94" s="1">
        <v>1</v>
      </c>
      <c r="Y94" s="1">
        <f t="shared" si="29"/>
        <v>1</v>
      </c>
      <c r="Z94" s="1">
        <f t="shared" si="30"/>
        <v>1</v>
      </c>
      <c r="AA94" s="1">
        <f t="shared" si="31"/>
        <v>1.05</v>
      </c>
      <c r="AB94" s="1">
        <f t="shared" si="32"/>
        <v>1.0920000000000001</v>
      </c>
      <c r="AC94" s="40">
        <f t="shared" si="33"/>
        <v>1.1575200000000001</v>
      </c>
      <c r="AE94" s="1">
        <v>0</v>
      </c>
      <c r="AF94" s="1">
        <v>0</v>
      </c>
      <c r="AG94" s="1">
        <v>0</v>
      </c>
      <c r="AH94" s="1">
        <v>5</v>
      </c>
      <c r="AI94" s="1">
        <v>4</v>
      </c>
      <c r="AJ94" s="1">
        <v>6</v>
      </c>
      <c r="AL94" s="1">
        <f t="shared" si="22"/>
        <v>0</v>
      </c>
    </row>
    <row r="95" spans="1:38" x14ac:dyDescent="0.3">
      <c r="A95" s="1">
        <v>90</v>
      </c>
      <c r="B95" s="9" t="s">
        <v>306</v>
      </c>
      <c r="C95" s="160">
        <f>VLOOKUP(MID(B95,1,8)-0,'1.6.2024'!$B$9:$G$160,3,FALSE)</f>
        <v>2822.82</v>
      </c>
      <c r="D95" s="160">
        <f>VLOOKUP(MID(B95,1,8)-0,'1.6.2024'!$B$9:$G$160,5,FALSE)</f>
        <v>2795.96</v>
      </c>
      <c r="E95" s="10">
        <f>IF('muut muuttujat'!$G$3=1,C95,KÄYTTÖTAULU!$B$13)</f>
        <v>2822.82</v>
      </c>
      <c r="F95" s="10">
        <f>IF('muut muuttujat'!$G$3=1,D95,KÄYTTÖTAULU!$B$13)</f>
        <v>2795.96</v>
      </c>
      <c r="G95" s="10">
        <f>KÄYTTÖTAULU!$F$6</f>
        <v>0</v>
      </c>
      <c r="H95" s="10">
        <f>KÄYTTÖTAULU!$F$6</f>
        <v>0</v>
      </c>
      <c r="I95" s="10">
        <f>G95*0.84</f>
        <v>0</v>
      </c>
      <c r="J95" s="10">
        <f>H95*0.84</f>
        <v>0</v>
      </c>
      <c r="K95" s="1" t="e">
        <f>ROUND(I95/KÄYTTÖTAULU!$I$8,2)</f>
        <v>#DIV/0!</v>
      </c>
      <c r="L95" s="1" t="e">
        <f>ROUND(J95/KÄYTTÖTAULU!$I$8,2)</f>
        <v>#DIV/0!</v>
      </c>
      <c r="M95" s="1" t="e">
        <f>ROUND(K95*(12/35),2)</f>
        <v>#DIV/0!</v>
      </c>
      <c r="N95" s="1" t="e">
        <f>ROUND(L95*(12/35),2)</f>
        <v>#DIV/0!</v>
      </c>
      <c r="O95" s="10"/>
      <c r="P95" s="10"/>
      <c r="Q95" s="10"/>
      <c r="R95" s="17">
        <v>0</v>
      </c>
      <c r="S95" s="1">
        <v>2</v>
      </c>
      <c r="T95" s="1">
        <v>1</v>
      </c>
      <c r="U95" s="1">
        <v>9</v>
      </c>
      <c r="V95" s="1">
        <v>6</v>
      </c>
      <c r="W95" s="40">
        <v>6</v>
      </c>
      <c r="X95" s="1">
        <v>1</v>
      </c>
      <c r="Y95" s="1">
        <f t="shared" si="29"/>
        <v>1.02</v>
      </c>
      <c r="Z95" s="1">
        <f t="shared" si="30"/>
        <v>1.0302</v>
      </c>
      <c r="AA95" s="1">
        <f t="shared" si="31"/>
        <v>1.1229180000000001</v>
      </c>
      <c r="AB95" s="1">
        <f t="shared" si="32"/>
        <v>1.1902930800000002</v>
      </c>
      <c r="AC95" s="40">
        <f t="shared" si="33"/>
        <v>1.2617106648000003</v>
      </c>
      <c r="AE95" s="1">
        <v>0</v>
      </c>
      <c r="AF95" s="1">
        <v>2</v>
      </c>
      <c r="AG95" s="1">
        <v>2</v>
      </c>
      <c r="AH95" s="1">
        <v>9</v>
      </c>
      <c r="AI95" s="1">
        <v>6</v>
      </c>
      <c r="AJ95" s="1">
        <v>6</v>
      </c>
      <c r="AL95" s="1">
        <f t="shared" si="22"/>
        <v>1</v>
      </c>
    </row>
    <row r="96" spans="1:38" x14ac:dyDescent="0.3">
      <c r="A96" s="1">
        <v>91</v>
      </c>
      <c r="B96" s="9" t="s">
        <v>307</v>
      </c>
      <c r="C96" s="160">
        <f>VLOOKUP(MID(B96,1,8)-0,'1.6.2024'!$B$9:$G$160,3,FALSE)</f>
        <v>2748.94</v>
      </c>
      <c r="D96" s="160">
        <f>VLOOKUP(MID(B96,1,8)-0,'1.6.2024'!$B$9:$G$160,5,FALSE)</f>
        <v>2722.81</v>
      </c>
      <c r="E96" s="10">
        <f>IF('muut muuttujat'!$G$3=1,C96,KÄYTTÖTAULU!$B$13)</f>
        <v>2748.94</v>
      </c>
      <c r="F96" s="10">
        <f>IF('muut muuttujat'!$G$3=1,D96,KÄYTTÖTAULU!$B$13)</f>
        <v>2722.81</v>
      </c>
      <c r="G96" s="10">
        <f>KÄYTTÖTAULU!$F$6</f>
        <v>0</v>
      </c>
      <c r="H96" s="10">
        <f>KÄYTTÖTAULU!$F$6</f>
        <v>0</v>
      </c>
      <c r="I96" s="10">
        <f t="shared" ref="I96:I101" si="34">G96*0.84</f>
        <v>0</v>
      </c>
      <c r="J96" s="10">
        <f t="shared" ref="J96:J101" si="35">H96*0.84</f>
        <v>0</v>
      </c>
      <c r="K96" s="1" t="e">
        <f>ROUND(I96/KÄYTTÖTAULU!$I$8,2)</f>
        <v>#DIV/0!</v>
      </c>
      <c r="L96" s="1" t="e">
        <f>ROUND(J96/KÄYTTÖTAULU!$I$8,2)</f>
        <v>#DIV/0!</v>
      </c>
      <c r="M96" s="1" t="e">
        <f t="shared" ref="M96:M101" si="36">ROUND(K96*(12/35),2)</f>
        <v>#DIV/0!</v>
      </c>
      <c r="N96" s="1" t="e">
        <f t="shared" ref="N96:N101" si="37">ROUND(L96*(12/35),2)</f>
        <v>#DIV/0!</v>
      </c>
      <c r="O96" s="10"/>
      <c r="P96" s="10"/>
      <c r="Q96" s="10"/>
      <c r="R96" s="17">
        <v>0</v>
      </c>
      <c r="S96" s="1">
        <v>2</v>
      </c>
      <c r="T96" s="1">
        <v>1</v>
      </c>
      <c r="U96" s="1">
        <v>9</v>
      </c>
      <c r="V96" s="1">
        <v>6</v>
      </c>
      <c r="W96" s="40">
        <v>6</v>
      </c>
      <c r="X96" s="1">
        <v>1</v>
      </c>
      <c r="Y96" s="1">
        <f t="shared" si="29"/>
        <v>1.02</v>
      </c>
      <c r="Z96" s="1">
        <f t="shared" si="30"/>
        <v>1.0302</v>
      </c>
      <c r="AA96" s="1">
        <f t="shared" si="31"/>
        <v>1.1229180000000001</v>
      </c>
      <c r="AB96" s="1">
        <f t="shared" si="32"/>
        <v>1.1902930800000002</v>
      </c>
      <c r="AC96" s="40">
        <f t="shared" si="33"/>
        <v>1.2617106648000003</v>
      </c>
      <c r="AE96" s="1">
        <v>0</v>
      </c>
      <c r="AF96" s="1">
        <v>2</v>
      </c>
      <c r="AG96" s="1">
        <v>2</v>
      </c>
      <c r="AH96" s="1">
        <v>9</v>
      </c>
      <c r="AI96" s="1">
        <v>6</v>
      </c>
      <c r="AJ96" s="1">
        <v>6</v>
      </c>
      <c r="AL96" s="1">
        <f t="shared" si="22"/>
        <v>1</v>
      </c>
    </row>
    <row r="97" spans="1:38" x14ac:dyDescent="0.3">
      <c r="A97" s="1">
        <v>92</v>
      </c>
      <c r="B97" s="9" t="s">
        <v>308</v>
      </c>
      <c r="C97" s="160">
        <f>VLOOKUP(MID(B97,1,8)-0,'1.6.2024'!$B$9:$G$160,3,FALSE)</f>
        <v>2473.5</v>
      </c>
      <c r="D97" s="160">
        <f>VLOOKUP(MID(B97,1,8)-0,'1.6.2024'!$B$9:$G$160,5,FALSE)</f>
        <v>2449.98</v>
      </c>
      <c r="E97" s="10">
        <f>IF('muut muuttujat'!$G$3=1,C97,KÄYTTÖTAULU!$B$13)</f>
        <v>2473.5</v>
      </c>
      <c r="F97" s="10">
        <f>IF('muut muuttujat'!$G$3=1,D97,KÄYTTÖTAULU!$B$13)</f>
        <v>2449.98</v>
      </c>
      <c r="G97" s="10">
        <f>KÄYTTÖTAULU!$F$6</f>
        <v>0</v>
      </c>
      <c r="H97" s="10">
        <f>KÄYTTÖTAULU!$F$6</f>
        <v>0</v>
      </c>
      <c r="I97" s="10">
        <f t="shared" si="34"/>
        <v>0</v>
      </c>
      <c r="J97" s="10">
        <f t="shared" si="35"/>
        <v>0</v>
      </c>
      <c r="K97" s="1" t="e">
        <f>ROUND(I97/KÄYTTÖTAULU!$I$8,2)</f>
        <v>#DIV/0!</v>
      </c>
      <c r="L97" s="1" t="e">
        <f>ROUND(J97/KÄYTTÖTAULU!$I$8,2)</f>
        <v>#DIV/0!</v>
      </c>
      <c r="M97" s="1" t="e">
        <f t="shared" si="36"/>
        <v>#DIV/0!</v>
      </c>
      <c r="N97" s="1" t="e">
        <f t="shared" si="37"/>
        <v>#DIV/0!</v>
      </c>
      <c r="O97" s="10"/>
      <c r="P97" s="10"/>
      <c r="Q97" s="10"/>
      <c r="R97" s="17">
        <v>0</v>
      </c>
      <c r="S97" s="1">
        <v>2</v>
      </c>
      <c r="T97" s="1">
        <v>1</v>
      </c>
      <c r="U97" s="1">
        <v>9</v>
      </c>
      <c r="V97" s="1">
        <v>6</v>
      </c>
      <c r="W97" s="40">
        <v>6</v>
      </c>
      <c r="X97" s="1">
        <v>1</v>
      </c>
      <c r="Y97" s="1">
        <f t="shared" si="29"/>
        <v>1.02</v>
      </c>
      <c r="Z97" s="1">
        <f t="shared" si="30"/>
        <v>1.0302</v>
      </c>
      <c r="AA97" s="1">
        <f t="shared" si="31"/>
        <v>1.1229180000000001</v>
      </c>
      <c r="AB97" s="1">
        <f t="shared" si="32"/>
        <v>1.1902930800000002</v>
      </c>
      <c r="AC97" s="40">
        <f t="shared" si="33"/>
        <v>1.2617106648000003</v>
      </c>
      <c r="AE97" s="1">
        <v>0</v>
      </c>
      <c r="AF97" s="1">
        <v>2</v>
      </c>
      <c r="AG97" s="1">
        <v>2</v>
      </c>
      <c r="AH97" s="1">
        <v>9</v>
      </c>
      <c r="AI97" s="1">
        <v>6</v>
      </c>
      <c r="AJ97" s="1">
        <v>6</v>
      </c>
      <c r="AL97" s="1">
        <f t="shared" si="22"/>
        <v>1</v>
      </c>
    </row>
    <row r="98" spans="1:38" x14ac:dyDescent="0.3">
      <c r="A98" s="1">
        <v>93</v>
      </c>
      <c r="B98" s="9" t="s">
        <v>309</v>
      </c>
      <c r="C98" s="160">
        <f>VLOOKUP(MID(B98,1,8)-0,'1.6.2024'!$B$9:$G$160,3,FALSE)</f>
        <v>2822.82</v>
      </c>
      <c r="D98" s="160">
        <f>VLOOKUP(MID(B98,1,8)-0,'1.6.2024'!$B$9:$G$160,5,FALSE)</f>
        <v>2795.96</v>
      </c>
      <c r="E98" s="10">
        <f>IF('muut muuttujat'!$G$3=1,C98,KÄYTTÖTAULU!$B$13)</f>
        <v>2822.82</v>
      </c>
      <c r="F98" s="10">
        <f>IF('muut muuttujat'!$G$3=1,D98,KÄYTTÖTAULU!$B$13)</f>
        <v>2795.96</v>
      </c>
      <c r="G98" s="10">
        <f>KÄYTTÖTAULU!$F$6</f>
        <v>0</v>
      </c>
      <c r="H98" s="10">
        <f>KÄYTTÖTAULU!$F$6</f>
        <v>0</v>
      </c>
      <c r="I98" s="10">
        <f t="shared" si="34"/>
        <v>0</v>
      </c>
      <c r="J98" s="10">
        <f t="shared" si="35"/>
        <v>0</v>
      </c>
      <c r="K98" s="1" t="e">
        <f>ROUND(I98/KÄYTTÖTAULU!$I$8,2)</f>
        <v>#DIV/0!</v>
      </c>
      <c r="L98" s="1" t="e">
        <f>ROUND(J98/KÄYTTÖTAULU!$I$8,2)</f>
        <v>#DIV/0!</v>
      </c>
      <c r="M98" s="1" t="e">
        <f t="shared" si="36"/>
        <v>#DIV/0!</v>
      </c>
      <c r="N98" s="1" t="e">
        <f t="shared" si="37"/>
        <v>#DIV/0!</v>
      </c>
      <c r="O98" s="10"/>
      <c r="P98" s="10"/>
      <c r="Q98" s="10"/>
      <c r="R98" s="17">
        <v>0</v>
      </c>
      <c r="S98" s="1">
        <v>2</v>
      </c>
      <c r="T98" s="1">
        <v>1</v>
      </c>
      <c r="U98" s="1">
        <v>9</v>
      </c>
      <c r="V98" s="1">
        <v>6</v>
      </c>
      <c r="W98" s="40">
        <v>6</v>
      </c>
      <c r="X98" s="1">
        <v>1</v>
      </c>
      <c r="Y98" s="1">
        <f t="shared" si="29"/>
        <v>1.02</v>
      </c>
      <c r="Z98" s="1">
        <f t="shared" si="30"/>
        <v>1.0302</v>
      </c>
      <c r="AA98" s="1">
        <f t="shared" si="31"/>
        <v>1.1229180000000001</v>
      </c>
      <c r="AB98" s="1">
        <f t="shared" si="32"/>
        <v>1.1902930800000002</v>
      </c>
      <c r="AC98" s="40">
        <f t="shared" si="33"/>
        <v>1.2617106648000003</v>
      </c>
      <c r="AE98" s="1">
        <v>0</v>
      </c>
      <c r="AF98" s="1">
        <v>2</v>
      </c>
      <c r="AG98" s="1">
        <v>2</v>
      </c>
      <c r="AH98" s="1">
        <v>9</v>
      </c>
      <c r="AI98" s="1">
        <v>6</v>
      </c>
      <c r="AJ98" s="1">
        <v>6</v>
      </c>
      <c r="AL98" s="1">
        <f t="shared" si="22"/>
        <v>1</v>
      </c>
    </row>
    <row r="99" spans="1:38" x14ac:dyDescent="0.3">
      <c r="A99" s="1">
        <v>94</v>
      </c>
      <c r="B99" s="9" t="s">
        <v>310</v>
      </c>
      <c r="C99" s="160">
        <f>VLOOKUP(MID(B99,1,8)-0,'1.6.2024'!$B$9:$G$160,3,FALSE)</f>
        <v>2586.04</v>
      </c>
      <c r="D99" s="160">
        <f>VLOOKUP(MID(B99,1,8)-0,'1.6.2024'!$B$9:$G$160,5,FALSE)</f>
        <v>2561.38</v>
      </c>
      <c r="E99" s="10">
        <f>IF('muut muuttujat'!$G$3=1,C99,KÄYTTÖTAULU!$B$13)</f>
        <v>2586.04</v>
      </c>
      <c r="F99" s="10">
        <f>IF('muut muuttujat'!$G$3=1,D99,KÄYTTÖTAULU!$B$13)</f>
        <v>2561.38</v>
      </c>
      <c r="G99" s="10">
        <f>KÄYTTÖTAULU!$F$6</f>
        <v>0</v>
      </c>
      <c r="H99" s="10">
        <f>KÄYTTÖTAULU!$F$6</f>
        <v>0</v>
      </c>
      <c r="I99" s="10">
        <f t="shared" si="34"/>
        <v>0</v>
      </c>
      <c r="J99" s="10">
        <f t="shared" si="35"/>
        <v>0</v>
      </c>
      <c r="K99" s="1" t="e">
        <f>ROUND(I99/KÄYTTÖTAULU!$I$8,2)</f>
        <v>#DIV/0!</v>
      </c>
      <c r="L99" s="1" t="e">
        <f>ROUND(J99/KÄYTTÖTAULU!$I$8,2)</f>
        <v>#DIV/0!</v>
      </c>
      <c r="M99" s="1" t="e">
        <f t="shared" si="36"/>
        <v>#DIV/0!</v>
      </c>
      <c r="N99" s="1" t="e">
        <f t="shared" si="37"/>
        <v>#DIV/0!</v>
      </c>
      <c r="O99" s="10"/>
      <c r="P99" s="10"/>
      <c r="Q99" s="10"/>
      <c r="R99" s="17">
        <v>0</v>
      </c>
      <c r="S99" s="1">
        <v>2</v>
      </c>
      <c r="T99" s="1">
        <v>1</v>
      </c>
      <c r="U99" s="1">
        <v>9</v>
      </c>
      <c r="V99" s="1">
        <v>6</v>
      </c>
      <c r="W99" s="40">
        <v>6</v>
      </c>
      <c r="X99" s="1">
        <v>1</v>
      </c>
      <c r="Y99" s="1">
        <f t="shared" si="29"/>
        <v>1.02</v>
      </c>
      <c r="Z99" s="1">
        <f t="shared" si="30"/>
        <v>1.0302</v>
      </c>
      <c r="AA99" s="1">
        <f t="shared" si="31"/>
        <v>1.1229180000000001</v>
      </c>
      <c r="AB99" s="1">
        <f t="shared" si="32"/>
        <v>1.1902930800000002</v>
      </c>
      <c r="AC99" s="40">
        <f t="shared" si="33"/>
        <v>1.2617106648000003</v>
      </c>
      <c r="AE99" s="1">
        <v>0</v>
      </c>
      <c r="AF99" s="1">
        <v>2</v>
      </c>
      <c r="AG99" s="1">
        <v>2</v>
      </c>
      <c r="AH99" s="1">
        <v>9</v>
      </c>
      <c r="AI99" s="1">
        <v>6</v>
      </c>
      <c r="AJ99" s="1">
        <v>6</v>
      </c>
      <c r="AL99" s="1">
        <f t="shared" si="22"/>
        <v>1</v>
      </c>
    </row>
    <row r="100" spans="1:38" x14ac:dyDescent="0.3">
      <c r="A100" s="1">
        <v>95</v>
      </c>
      <c r="B100" s="9" t="s">
        <v>311</v>
      </c>
      <c r="C100" s="160">
        <f>VLOOKUP(MID(B100,1,8)-0,'1.6.2024'!$B$9:$G$160,3,FALSE)</f>
        <v>2534.52</v>
      </c>
      <c r="D100" s="160">
        <f>VLOOKUP(MID(B100,1,8)-0,'1.6.2024'!$B$9:$G$160,5,FALSE)</f>
        <v>2510.38</v>
      </c>
      <c r="E100" s="10">
        <f>IF('muut muuttujat'!$G$3=1,C100,KÄYTTÖTAULU!$B$13)</f>
        <v>2534.52</v>
      </c>
      <c r="F100" s="10">
        <f>IF('muut muuttujat'!$G$3=1,D100,KÄYTTÖTAULU!$B$13)</f>
        <v>2510.38</v>
      </c>
      <c r="G100" s="10">
        <f>KÄYTTÖTAULU!$F$6</f>
        <v>0</v>
      </c>
      <c r="H100" s="10">
        <f>KÄYTTÖTAULU!$F$6</f>
        <v>0</v>
      </c>
      <c r="I100" s="10">
        <f t="shared" si="34"/>
        <v>0</v>
      </c>
      <c r="J100" s="10">
        <f t="shared" si="35"/>
        <v>0</v>
      </c>
      <c r="K100" s="1" t="e">
        <f>ROUND(I100/KÄYTTÖTAULU!$I$8,2)</f>
        <v>#DIV/0!</v>
      </c>
      <c r="L100" s="1" t="e">
        <f>ROUND(J100/KÄYTTÖTAULU!$I$8,2)</f>
        <v>#DIV/0!</v>
      </c>
      <c r="M100" s="1" t="e">
        <f t="shared" si="36"/>
        <v>#DIV/0!</v>
      </c>
      <c r="N100" s="1" t="e">
        <f t="shared" si="37"/>
        <v>#DIV/0!</v>
      </c>
      <c r="O100" s="10"/>
      <c r="P100" s="10"/>
      <c r="Q100" s="10"/>
      <c r="R100" s="17">
        <v>0</v>
      </c>
      <c r="S100" s="1">
        <v>2</v>
      </c>
      <c r="T100" s="1">
        <v>1</v>
      </c>
      <c r="U100" s="1">
        <v>9</v>
      </c>
      <c r="V100" s="1">
        <v>6</v>
      </c>
      <c r="W100" s="40">
        <v>6</v>
      </c>
      <c r="X100" s="1">
        <v>1</v>
      </c>
      <c r="Y100" s="1">
        <f t="shared" si="29"/>
        <v>1.02</v>
      </c>
      <c r="Z100" s="1">
        <f t="shared" si="30"/>
        <v>1.0302</v>
      </c>
      <c r="AA100" s="1">
        <f t="shared" si="31"/>
        <v>1.1229180000000001</v>
      </c>
      <c r="AB100" s="1">
        <f t="shared" si="32"/>
        <v>1.1902930800000002</v>
      </c>
      <c r="AC100" s="40">
        <f t="shared" si="33"/>
        <v>1.2617106648000003</v>
      </c>
      <c r="AE100" s="1">
        <v>0</v>
      </c>
      <c r="AF100" s="1">
        <v>2</v>
      </c>
      <c r="AG100" s="1">
        <v>2</v>
      </c>
      <c r="AH100" s="1">
        <v>9</v>
      </c>
      <c r="AI100" s="1">
        <v>6</v>
      </c>
      <c r="AJ100" s="1">
        <v>6</v>
      </c>
      <c r="AL100" s="1">
        <f t="shared" si="22"/>
        <v>1</v>
      </c>
    </row>
    <row r="101" spans="1:38" x14ac:dyDescent="0.3">
      <c r="A101" s="1">
        <v>96</v>
      </c>
      <c r="B101" s="195" t="s">
        <v>312</v>
      </c>
      <c r="C101" s="160">
        <f>VLOOKUP(MID(B101,1,8)-0,'1.6.2024'!$B$9:$G$160,3,FALSE)</f>
        <v>2360.15</v>
      </c>
      <c r="D101" s="160">
        <f>VLOOKUP(MID(B101,1,8)-0,'1.6.2024'!$B$9:$G$160,5,FALSE)</f>
        <v>2338.16</v>
      </c>
      <c r="E101" s="10">
        <f>IF('muut muuttujat'!$G$3=1,C101,KÄYTTÖTAULU!$B$13)</f>
        <v>2360.15</v>
      </c>
      <c r="F101" s="10">
        <f>IF('muut muuttujat'!$G$3=1,D101,KÄYTTÖTAULU!$B$13)</f>
        <v>2338.16</v>
      </c>
      <c r="G101" s="10">
        <f>KÄYTTÖTAULU!$F$6</f>
        <v>0</v>
      </c>
      <c r="H101" s="10">
        <f>KÄYTTÖTAULU!$F$6</f>
        <v>0</v>
      </c>
      <c r="I101" s="10">
        <f t="shared" si="34"/>
        <v>0</v>
      </c>
      <c r="J101" s="10">
        <f t="shared" si="35"/>
        <v>0</v>
      </c>
      <c r="K101" s="1" t="e">
        <f>ROUND(I101/KÄYTTÖTAULU!$I$8,2)</f>
        <v>#DIV/0!</v>
      </c>
      <c r="L101" s="1" t="e">
        <f>ROUND(J101/KÄYTTÖTAULU!$I$8,2)</f>
        <v>#DIV/0!</v>
      </c>
      <c r="M101" s="1" t="e">
        <f t="shared" si="36"/>
        <v>#DIV/0!</v>
      </c>
      <c r="N101" s="1" t="e">
        <f t="shared" si="37"/>
        <v>#DIV/0!</v>
      </c>
      <c r="O101" s="10"/>
      <c r="P101" s="10"/>
      <c r="Q101" s="10"/>
      <c r="R101" s="17">
        <v>0</v>
      </c>
      <c r="S101" s="1">
        <v>2</v>
      </c>
      <c r="T101" s="1">
        <v>1</v>
      </c>
      <c r="U101" s="1">
        <v>9</v>
      </c>
      <c r="V101" s="1">
        <v>6</v>
      </c>
      <c r="W101" s="40">
        <v>6</v>
      </c>
      <c r="X101" s="1">
        <v>1</v>
      </c>
      <c r="Y101" s="1">
        <f t="shared" si="29"/>
        <v>1.02</v>
      </c>
      <c r="Z101" s="1">
        <f t="shared" si="30"/>
        <v>1.0302</v>
      </c>
      <c r="AA101" s="1">
        <f t="shared" si="31"/>
        <v>1.1229180000000001</v>
      </c>
      <c r="AB101" s="1">
        <f t="shared" si="32"/>
        <v>1.1902930800000002</v>
      </c>
      <c r="AC101" s="40">
        <f t="shared" si="33"/>
        <v>1.2617106648000003</v>
      </c>
      <c r="AE101" s="1">
        <v>0</v>
      </c>
      <c r="AF101" s="1">
        <v>2</v>
      </c>
      <c r="AG101" s="1">
        <v>2</v>
      </c>
      <c r="AH101" s="1">
        <v>9</v>
      </c>
      <c r="AI101" s="1">
        <v>6</v>
      </c>
      <c r="AJ101" s="1">
        <v>6</v>
      </c>
      <c r="AL101" s="1">
        <f t="shared" si="22"/>
        <v>1</v>
      </c>
    </row>
    <row r="102" spans="1:38" x14ac:dyDescent="0.3">
      <c r="A102" s="1">
        <v>97</v>
      </c>
      <c r="B102" s="195" t="s">
        <v>313</v>
      </c>
      <c r="C102" s="160">
        <f>VLOOKUP(MID(B102,1,8)-0,'1.6.2024'!$B$9:$G$160,3,FALSE)</f>
        <v>30.74</v>
      </c>
      <c r="D102" s="160"/>
      <c r="E102" s="10"/>
      <c r="F102" s="10"/>
      <c r="G102" s="10"/>
      <c r="H102" s="10"/>
      <c r="I102" s="10"/>
      <c r="J102" s="10"/>
      <c r="O102" s="10"/>
      <c r="P102" s="10"/>
      <c r="Q102" s="160">
        <f>'1.6.2024'!D144</f>
        <v>30.74</v>
      </c>
      <c r="R102" s="17"/>
      <c r="W102" s="40"/>
      <c r="AC102" s="40"/>
      <c r="AL102" s="1">
        <f t="shared" si="22"/>
        <v>0</v>
      </c>
    </row>
    <row r="103" spans="1:38" x14ac:dyDescent="0.3">
      <c r="A103" s="1">
        <v>98</v>
      </c>
      <c r="B103" s="195" t="s">
        <v>314</v>
      </c>
      <c r="C103" s="160">
        <f>VLOOKUP(MID(B103,1,8)-0,'1.6.2024'!$B$9:$G$160,3,FALSE)</f>
        <v>30.16</v>
      </c>
      <c r="D103" s="160"/>
      <c r="E103" s="10"/>
      <c r="F103" s="10"/>
      <c r="G103" s="10"/>
      <c r="H103" s="10"/>
      <c r="I103" s="10"/>
      <c r="J103" s="10"/>
      <c r="O103" s="10"/>
      <c r="P103" s="10"/>
      <c r="Q103" s="160">
        <f>'1.6.2024'!D145</f>
        <v>30.16</v>
      </c>
      <c r="R103" s="17"/>
      <c r="W103" s="40"/>
      <c r="AC103" s="40"/>
      <c r="AL103" s="1">
        <f t="shared" si="22"/>
        <v>0</v>
      </c>
    </row>
    <row r="104" spans="1:38" x14ac:dyDescent="0.3">
      <c r="A104" s="1">
        <v>99</v>
      </c>
      <c r="B104" s="9" t="s">
        <v>315</v>
      </c>
      <c r="C104" s="160">
        <f>VLOOKUP(MID(B104,1,8)-0,'1.6.2024'!$B$9:$G$160,3,FALSE)</f>
        <v>28.25</v>
      </c>
      <c r="D104" s="160"/>
      <c r="E104" s="10"/>
      <c r="F104" s="10"/>
      <c r="G104" s="10"/>
      <c r="H104" s="10"/>
      <c r="I104" s="10"/>
      <c r="J104" s="10"/>
      <c r="O104" s="10"/>
      <c r="P104" s="10"/>
      <c r="Q104" s="160">
        <f>'1.6.2024'!D146</f>
        <v>28.25</v>
      </c>
      <c r="R104" s="17"/>
      <c r="W104" s="40"/>
      <c r="AC104" s="40"/>
      <c r="AL104" s="1">
        <f t="shared" si="22"/>
        <v>0</v>
      </c>
    </row>
    <row r="105" spans="1:38" x14ac:dyDescent="0.3">
      <c r="A105" s="1">
        <v>100</v>
      </c>
      <c r="B105" s="9" t="s">
        <v>316</v>
      </c>
      <c r="C105" s="160">
        <f>VLOOKUP(MID(B105,1,8)-0,'1.6.2024'!$B$9:$G$160,3,FALSE)</f>
        <v>3508.62</v>
      </c>
      <c r="D105" s="160">
        <f>VLOOKUP(MID(B105,1,8)-0,'1.6.2024'!$B$9:$G$160,5,FALSE)</f>
        <v>3481.81</v>
      </c>
      <c r="E105" s="10">
        <f>IF('muut muuttujat'!$G$3=1,C105,KÄYTTÖTAULU!$B$13)</f>
        <v>3508.62</v>
      </c>
      <c r="F105" s="10">
        <f>IF('muut muuttujat'!$G$3=1,D105,KÄYTTÖTAULU!$B$13)</f>
        <v>3481.81</v>
      </c>
      <c r="G105" s="10">
        <f>KÄYTTÖTAULU!$F$6</f>
        <v>0</v>
      </c>
      <c r="H105" s="10">
        <f>KÄYTTÖTAULU!$F$6</f>
        <v>0</v>
      </c>
      <c r="I105" s="10"/>
      <c r="J105" s="10"/>
      <c r="O105" s="10"/>
      <c r="P105" s="10"/>
      <c r="Q105" s="10"/>
      <c r="R105" s="17">
        <v>0</v>
      </c>
      <c r="S105" s="1">
        <v>0</v>
      </c>
      <c r="T105" s="1">
        <v>0</v>
      </c>
      <c r="U105" s="1">
        <v>5</v>
      </c>
      <c r="V105" s="1">
        <v>4</v>
      </c>
      <c r="W105" s="40">
        <v>6</v>
      </c>
      <c r="X105" s="1">
        <v>1</v>
      </c>
      <c r="Y105" s="1">
        <f>1+S105/100</f>
        <v>1</v>
      </c>
      <c r="Z105" s="1">
        <f t="shared" ref="Z105:AC108" si="38">(1+T105/100)*Y105</f>
        <v>1</v>
      </c>
      <c r="AA105" s="1">
        <f t="shared" si="38"/>
        <v>1.05</v>
      </c>
      <c r="AB105" s="1">
        <f t="shared" si="38"/>
        <v>1.0920000000000001</v>
      </c>
      <c r="AC105" s="40">
        <f t="shared" si="38"/>
        <v>1.1575200000000001</v>
      </c>
      <c r="AE105" s="1">
        <v>0</v>
      </c>
      <c r="AF105" s="1">
        <v>0</v>
      </c>
      <c r="AG105" s="1">
        <v>0</v>
      </c>
      <c r="AH105" s="1">
        <v>5</v>
      </c>
      <c r="AI105" s="1">
        <v>4</v>
      </c>
      <c r="AJ105" s="1">
        <v>6</v>
      </c>
      <c r="AL105" s="1">
        <f t="shared" si="22"/>
        <v>0</v>
      </c>
    </row>
    <row r="106" spans="1:38" x14ac:dyDescent="0.3">
      <c r="A106" s="1">
        <v>101</v>
      </c>
      <c r="B106" s="9" t="s">
        <v>317</v>
      </c>
      <c r="C106" s="160">
        <f>VLOOKUP(MID(B106,1,8)-0,'1.6.2024'!$B$9:$G$160,3,FALSE)</f>
        <v>3508.62</v>
      </c>
      <c r="D106" s="160">
        <f>VLOOKUP(MID(B106,1,8)-0,'1.6.2024'!$B$9:$G$160,5,FALSE)</f>
        <v>3481.81</v>
      </c>
      <c r="E106" s="10">
        <f>IF('muut muuttujat'!$G$3=1,C106,KÄYTTÖTAULU!$B$13)</f>
        <v>3508.62</v>
      </c>
      <c r="F106" s="10">
        <f>IF('muut muuttujat'!$G$3=1,D106,KÄYTTÖTAULU!$B$13)</f>
        <v>3481.81</v>
      </c>
      <c r="G106" s="10">
        <f>KÄYTTÖTAULU!$F$6</f>
        <v>0</v>
      </c>
      <c r="H106" s="10">
        <f>KÄYTTÖTAULU!$F$6</f>
        <v>0</v>
      </c>
      <c r="I106" s="10"/>
      <c r="J106" s="10"/>
      <c r="O106" s="10"/>
      <c r="P106" s="10"/>
      <c r="Q106" s="10"/>
      <c r="R106" s="17">
        <v>0</v>
      </c>
      <c r="S106" s="1">
        <v>0</v>
      </c>
      <c r="T106" s="1">
        <v>0</v>
      </c>
      <c r="U106" s="1">
        <v>5</v>
      </c>
      <c r="V106" s="1">
        <v>4</v>
      </c>
      <c r="W106" s="40">
        <v>6</v>
      </c>
      <c r="X106" s="1">
        <v>1</v>
      </c>
      <c r="Y106" s="1">
        <f>1+S106/100</f>
        <v>1</v>
      </c>
      <c r="Z106" s="1">
        <f t="shared" si="38"/>
        <v>1</v>
      </c>
      <c r="AA106" s="1">
        <f t="shared" si="38"/>
        <v>1.05</v>
      </c>
      <c r="AB106" s="1">
        <f t="shared" si="38"/>
        <v>1.0920000000000001</v>
      </c>
      <c r="AC106" s="40">
        <f t="shared" si="38"/>
        <v>1.1575200000000001</v>
      </c>
      <c r="AE106" s="1">
        <v>0</v>
      </c>
      <c r="AF106" s="1">
        <v>0</v>
      </c>
      <c r="AG106" s="1">
        <v>0</v>
      </c>
      <c r="AH106" s="1">
        <v>5</v>
      </c>
      <c r="AI106" s="1">
        <v>4</v>
      </c>
      <c r="AJ106" s="1">
        <v>6</v>
      </c>
      <c r="AL106" s="1">
        <f t="shared" si="22"/>
        <v>0</v>
      </c>
    </row>
    <row r="107" spans="1:38" x14ac:dyDescent="0.3">
      <c r="A107" s="1">
        <v>102</v>
      </c>
      <c r="B107" s="9" t="s">
        <v>318</v>
      </c>
      <c r="C107" s="160">
        <f>VLOOKUP(MID(B107,1,8)-0,'1.6.2024'!$B$9:$G$160,3,FALSE)</f>
        <v>2406.7199999999998</v>
      </c>
      <c r="D107" s="160">
        <f>VLOOKUP(MID(B107,1,8)-0,'1.6.2024'!$B$9:$G$160,5,FALSE)</f>
        <v>2385.48</v>
      </c>
      <c r="E107" s="10">
        <f>IF('muut muuttujat'!$G$3=1,C107,KÄYTTÖTAULU!$B$13)</f>
        <v>2406.7199999999998</v>
      </c>
      <c r="F107" s="10">
        <f>IF('muut muuttujat'!$G$3=1,D107,KÄYTTÖTAULU!$B$13)</f>
        <v>2385.48</v>
      </c>
      <c r="G107" s="10">
        <f>KÄYTTÖTAULU!$F$6</f>
        <v>0</v>
      </c>
      <c r="H107" s="10">
        <f>KÄYTTÖTAULU!$F$6</f>
        <v>0</v>
      </c>
      <c r="I107" s="10">
        <f>G107*0.84</f>
        <v>0</v>
      </c>
      <c r="J107" s="10">
        <f>H107*0.84</f>
        <v>0</v>
      </c>
      <c r="O107" s="10"/>
      <c r="P107" s="10"/>
      <c r="Q107" s="10"/>
      <c r="R107" s="17">
        <v>0</v>
      </c>
      <c r="S107" s="1">
        <v>2</v>
      </c>
      <c r="T107" s="1">
        <v>1</v>
      </c>
      <c r="U107" s="1">
        <v>5</v>
      </c>
      <c r="V107" s="1">
        <v>10</v>
      </c>
      <c r="W107" s="40">
        <v>10</v>
      </c>
      <c r="X107" s="1">
        <v>1</v>
      </c>
      <c r="Y107" s="1">
        <f>1+S107/100</f>
        <v>1.02</v>
      </c>
      <c r="Z107" s="1">
        <f t="shared" si="38"/>
        <v>1.0302</v>
      </c>
      <c r="AA107" s="1">
        <f t="shared" si="38"/>
        <v>1.0817099999999999</v>
      </c>
      <c r="AB107" s="1">
        <f t="shared" si="38"/>
        <v>1.189881</v>
      </c>
      <c r="AC107" s="40">
        <f t="shared" si="38"/>
        <v>1.3088691000000001</v>
      </c>
      <c r="AE107" s="1">
        <v>0</v>
      </c>
      <c r="AF107" s="1">
        <v>2</v>
      </c>
      <c r="AG107" s="1">
        <v>2</v>
      </c>
      <c r="AH107" s="1">
        <v>5</v>
      </c>
      <c r="AI107" s="1">
        <v>10</v>
      </c>
      <c r="AJ107" s="1">
        <v>10</v>
      </c>
      <c r="AL107" s="1">
        <f t="shared" si="22"/>
        <v>1</v>
      </c>
    </row>
    <row r="108" spans="1:38" x14ac:dyDescent="0.3">
      <c r="A108" s="1">
        <v>103</v>
      </c>
      <c r="B108" s="9" t="s">
        <v>319</v>
      </c>
      <c r="C108" s="160">
        <f>VLOOKUP(MID(B108,1,8)-0,'1.6.2024'!$B$9:$G$160,3,FALSE)</f>
        <v>2497.46</v>
      </c>
      <c r="D108" s="160">
        <f>VLOOKUP(MID(B108,1,8)-0,'1.6.2024'!$B$9:$G$160,5,FALSE)</f>
        <v>2474.77</v>
      </c>
      <c r="E108" s="10">
        <f>IF('muut muuttujat'!$G$3=1,C108,KÄYTTÖTAULU!$B$13)</f>
        <v>2497.46</v>
      </c>
      <c r="F108" s="10">
        <f>IF('muut muuttujat'!$G$3=1,D108,KÄYTTÖTAULU!$B$13)</f>
        <v>2474.77</v>
      </c>
      <c r="G108" s="10">
        <f>KÄYTTÖTAULU!$F$6</f>
        <v>0</v>
      </c>
      <c r="H108" s="10">
        <f>KÄYTTÖTAULU!$F$6</f>
        <v>0</v>
      </c>
      <c r="I108" s="10">
        <f>G108*0.84</f>
        <v>0</v>
      </c>
      <c r="J108" s="10">
        <f>H108*0.84</f>
        <v>0</v>
      </c>
      <c r="O108" s="10"/>
      <c r="P108" s="10"/>
      <c r="Q108" s="10"/>
      <c r="R108" s="17">
        <v>0</v>
      </c>
      <c r="S108" s="1">
        <v>2</v>
      </c>
      <c r="T108" s="1">
        <v>1</v>
      </c>
      <c r="U108" s="1">
        <v>5</v>
      </c>
      <c r="V108" s="1">
        <v>10</v>
      </c>
      <c r="W108" s="40">
        <v>10</v>
      </c>
      <c r="X108" s="1">
        <v>1</v>
      </c>
      <c r="Y108" s="1">
        <f>1+S108/100</f>
        <v>1.02</v>
      </c>
      <c r="Z108" s="1">
        <f t="shared" si="38"/>
        <v>1.0302</v>
      </c>
      <c r="AA108" s="1">
        <f t="shared" si="38"/>
        <v>1.0817099999999999</v>
      </c>
      <c r="AB108" s="1">
        <f t="shared" si="38"/>
        <v>1.189881</v>
      </c>
      <c r="AC108" s="40">
        <f t="shared" si="38"/>
        <v>1.3088691000000001</v>
      </c>
      <c r="AE108" s="1">
        <v>0</v>
      </c>
      <c r="AF108" s="1">
        <v>2</v>
      </c>
      <c r="AG108" s="1">
        <v>2</v>
      </c>
      <c r="AH108" s="1">
        <v>5</v>
      </c>
      <c r="AI108" s="1">
        <v>10</v>
      </c>
      <c r="AJ108" s="1">
        <v>10</v>
      </c>
      <c r="AL108" s="1">
        <f t="shared" si="22"/>
        <v>1</v>
      </c>
    </row>
    <row r="109" spans="1:38" x14ac:dyDescent="0.3">
      <c r="A109" s="1">
        <v>104</v>
      </c>
      <c r="B109" s="9" t="s">
        <v>320</v>
      </c>
      <c r="C109" s="160">
        <f>VLOOKUP(MID(B109,1,8)-0,'1.6.2024'!$B$9:$G$160,3,FALSE)</f>
        <v>27.01</v>
      </c>
      <c r="D109" s="160"/>
      <c r="E109" s="10"/>
      <c r="F109" s="10"/>
      <c r="G109" s="10"/>
      <c r="H109" s="10"/>
      <c r="I109" s="10"/>
      <c r="J109" s="10"/>
      <c r="O109" s="10"/>
      <c r="P109" s="10"/>
      <c r="Q109" s="160">
        <f>'1.6.2024'!D150</f>
        <v>27.01</v>
      </c>
      <c r="R109" s="17"/>
      <c r="W109" s="40"/>
      <c r="AC109" s="40"/>
      <c r="AL109" s="1">
        <f t="shared" si="22"/>
        <v>0</v>
      </c>
    </row>
    <row r="110" spans="1:38" x14ac:dyDescent="0.3">
      <c r="A110" s="1">
        <v>105</v>
      </c>
      <c r="B110" s="9" t="s">
        <v>321</v>
      </c>
      <c r="C110" s="160">
        <f>VLOOKUP(MID(B110,1,8)-0,'1.6.2024'!$B$9:$G$160,3,FALSE)</f>
        <v>3980.51</v>
      </c>
      <c r="D110" s="160">
        <f>VLOOKUP(MID(B110,1,8)-0,'1.6.2024'!$B$9:$G$160,5,FALSE)</f>
        <v>3942.4</v>
      </c>
      <c r="E110" s="10">
        <f>IF('muut muuttujat'!$G$3=1,C110,KÄYTTÖTAULU!$B$13)</f>
        <v>3980.51</v>
      </c>
      <c r="F110" s="10">
        <f>IF('muut muuttujat'!$G$3=1,D110,KÄYTTÖTAULU!$B$13)</f>
        <v>3942.4</v>
      </c>
      <c r="G110" s="10">
        <f>KÄYTTÖTAULU!$F$6</f>
        <v>0</v>
      </c>
      <c r="H110" s="10">
        <f>KÄYTTÖTAULU!$F$6</f>
        <v>0</v>
      </c>
      <c r="I110" s="10"/>
      <c r="J110" s="10"/>
      <c r="O110" s="10"/>
      <c r="P110" s="10"/>
      <c r="Q110" s="10"/>
      <c r="R110" s="17">
        <v>0</v>
      </c>
      <c r="S110" s="1">
        <v>0</v>
      </c>
      <c r="T110" s="1">
        <v>0</v>
      </c>
      <c r="U110" s="1">
        <v>5</v>
      </c>
      <c r="V110" s="1">
        <v>4</v>
      </c>
      <c r="W110" s="40">
        <v>6</v>
      </c>
      <c r="X110" s="1">
        <v>1</v>
      </c>
      <c r="Y110" s="1">
        <f t="shared" si="29"/>
        <v>1</v>
      </c>
      <c r="Z110" s="1">
        <f t="shared" si="30"/>
        <v>1</v>
      </c>
      <c r="AA110" s="1">
        <f t="shared" si="31"/>
        <v>1.05</v>
      </c>
      <c r="AB110" s="1">
        <f t="shared" si="32"/>
        <v>1.0920000000000001</v>
      </c>
      <c r="AC110" s="40">
        <f t="shared" si="33"/>
        <v>1.1575200000000001</v>
      </c>
      <c r="AE110" s="1">
        <v>0</v>
      </c>
      <c r="AF110" s="1">
        <v>0</v>
      </c>
      <c r="AG110" s="1">
        <v>0</v>
      </c>
      <c r="AH110" s="1">
        <v>5</v>
      </c>
      <c r="AI110" s="1">
        <v>4</v>
      </c>
      <c r="AJ110" s="1">
        <v>6</v>
      </c>
      <c r="AL110" s="1">
        <f t="shared" si="22"/>
        <v>0</v>
      </c>
    </row>
    <row r="111" spans="1:38" x14ac:dyDescent="0.3">
      <c r="A111" s="1">
        <v>106</v>
      </c>
      <c r="B111" s="9" t="s">
        <v>322</v>
      </c>
      <c r="C111" s="160">
        <f>VLOOKUP(MID(B111,1,8)-0,'1.6.2024'!$B$9:$G$160,3,FALSE)</f>
        <v>3369.97</v>
      </c>
      <c r="D111" s="160">
        <f>VLOOKUP(MID(B111,1,8)-0,'1.6.2024'!$B$9:$G$160,5,FALSE)</f>
        <v>3337.72</v>
      </c>
      <c r="E111" s="10">
        <f>IF('muut muuttujat'!$G$3=1,C111,KÄYTTÖTAULU!$B$13)</f>
        <v>3369.97</v>
      </c>
      <c r="F111" s="10">
        <f>IF('muut muuttujat'!$G$3=1,D111,KÄYTTÖTAULU!$B$13)</f>
        <v>3337.72</v>
      </c>
      <c r="G111" s="10">
        <f>KÄYTTÖTAULU!$F$6</f>
        <v>0</v>
      </c>
      <c r="H111" s="10">
        <f>KÄYTTÖTAULU!$F$6</f>
        <v>0</v>
      </c>
      <c r="I111" s="10"/>
      <c r="J111" s="10"/>
      <c r="O111" s="10"/>
      <c r="P111" s="10"/>
      <c r="Q111" s="10"/>
      <c r="R111" s="17">
        <v>0</v>
      </c>
      <c r="S111" s="1">
        <v>0</v>
      </c>
      <c r="T111" s="1">
        <v>0</v>
      </c>
      <c r="U111" s="1">
        <v>5</v>
      </c>
      <c r="V111" s="1">
        <v>4</v>
      </c>
      <c r="W111" s="40">
        <v>6</v>
      </c>
      <c r="X111" s="1">
        <v>1</v>
      </c>
      <c r="Y111" s="1">
        <f t="shared" si="29"/>
        <v>1</v>
      </c>
      <c r="Z111" s="1">
        <f t="shared" si="30"/>
        <v>1</v>
      </c>
      <c r="AA111" s="1">
        <f t="shared" si="31"/>
        <v>1.05</v>
      </c>
      <c r="AB111" s="1">
        <f t="shared" si="32"/>
        <v>1.0920000000000001</v>
      </c>
      <c r="AC111" s="40">
        <f t="shared" si="33"/>
        <v>1.1575200000000001</v>
      </c>
      <c r="AE111" s="1">
        <v>0</v>
      </c>
      <c r="AF111" s="1">
        <v>0</v>
      </c>
      <c r="AG111" s="1">
        <v>0</v>
      </c>
      <c r="AH111" s="1">
        <v>5</v>
      </c>
      <c r="AI111" s="1">
        <v>4</v>
      </c>
      <c r="AJ111" s="1">
        <v>6</v>
      </c>
      <c r="AL111" s="1">
        <f t="shared" si="22"/>
        <v>0</v>
      </c>
    </row>
    <row r="112" spans="1:38" x14ac:dyDescent="0.3">
      <c r="A112" s="1">
        <v>107</v>
      </c>
      <c r="B112" s="9" t="s">
        <v>323</v>
      </c>
      <c r="C112" s="160">
        <f>VLOOKUP(MID(B112,1,8)-0,'1.6.2024'!$B$9:$G$160,3,FALSE)</f>
        <v>3139.7</v>
      </c>
      <c r="D112" s="160"/>
      <c r="E112" s="10">
        <f>IF('muut muuttujat'!$G$3=1,C112,KÄYTTÖTAULU!$B$13)</f>
        <v>3139.7</v>
      </c>
      <c r="F112" s="10"/>
      <c r="G112" s="10">
        <f>KÄYTTÖTAULU!$F$6</f>
        <v>0</v>
      </c>
      <c r="H112" s="10">
        <f>KÄYTTÖTAULU!$F$6</f>
        <v>0</v>
      </c>
      <c r="I112" s="10"/>
      <c r="J112" s="10"/>
      <c r="O112" s="10"/>
      <c r="P112" s="10"/>
      <c r="Q112" s="10"/>
      <c r="R112" s="17">
        <v>0</v>
      </c>
      <c r="S112" s="1">
        <v>3</v>
      </c>
      <c r="T112" s="1">
        <v>0</v>
      </c>
      <c r="U112" s="1">
        <v>10</v>
      </c>
      <c r="V112" s="1">
        <v>10</v>
      </c>
      <c r="W112" s="40">
        <v>10</v>
      </c>
      <c r="X112" s="1">
        <v>1</v>
      </c>
      <c r="Y112" s="1">
        <f>1+S112/100</f>
        <v>1.03</v>
      </c>
      <c r="Z112" s="1">
        <f t="shared" ref="Z112:AC113" si="39">(1+T112/100)*Y112</f>
        <v>1.03</v>
      </c>
      <c r="AA112" s="1">
        <f t="shared" si="39"/>
        <v>1.1330000000000002</v>
      </c>
      <c r="AB112" s="1">
        <f t="shared" si="39"/>
        <v>1.2463000000000004</v>
      </c>
      <c r="AC112" s="40">
        <f t="shared" si="39"/>
        <v>1.3709300000000006</v>
      </c>
      <c r="AE112" s="1">
        <v>0</v>
      </c>
      <c r="AF112" s="1">
        <v>2</v>
      </c>
      <c r="AG112" s="1">
        <v>2</v>
      </c>
      <c r="AH112" s="1">
        <v>10</v>
      </c>
      <c r="AI112" s="1">
        <v>10</v>
      </c>
      <c r="AJ112" s="1">
        <v>10</v>
      </c>
      <c r="AL112" s="1">
        <f t="shared" si="22"/>
        <v>2</v>
      </c>
    </row>
    <row r="113" spans="1:38" x14ac:dyDescent="0.3">
      <c r="A113" s="1">
        <v>108</v>
      </c>
      <c r="B113" s="9" t="s">
        <v>324</v>
      </c>
      <c r="C113" s="160">
        <f>VLOOKUP(MID(B113,1,8)-0,'1.6.2024'!$B$9:$G$160,3,FALSE)</f>
        <v>2839.68</v>
      </c>
      <c r="D113" s="160"/>
      <c r="E113" s="10">
        <f>IF('muut muuttujat'!$G$3=1,C113,KÄYTTÖTAULU!$B$13)</f>
        <v>2839.68</v>
      </c>
      <c r="F113" s="10"/>
      <c r="G113" s="10">
        <f>KÄYTTÖTAULU!$F$6</f>
        <v>0</v>
      </c>
      <c r="H113" s="10">
        <f>KÄYTTÖTAULU!$F$6</f>
        <v>0</v>
      </c>
      <c r="I113" s="10"/>
      <c r="J113" s="10"/>
      <c r="O113" s="10"/>
      <c r="P113" s="10"/>
      <c r="Q113" s="10"/>
      <c r="R113" s="17">
        <v>0</v>
      </c>
      <c r="S113" s="1">
        <v>3</v>
      </c>
      <c r="T113" s="1">
        <v>0</v>
      </c>
      <c r="U113" s="1">
        <v>10</v>
      </c>
      <c r="V113" s="1">
        <v>10</v>
      </c>
      <c r="W113" s="40">
        <v>10</v>
      </c>
      <c r="X113" s="1">
        <v>1</v>
      </c>
      <c r="Y113" s="1">
        <f>1+S113/100</f>
        <v>1.03</v>
      </c>
      <c r="Z113" s="1">
        <f t="shared" si="39"/>
        <v>1.03</v>
      </c>
      <c r="AA113" s="1">
        <f t="shared" si="39"/>
        <v>1.1330000000000002</v>
      </c>
      <c r="AB113" s="1">
        <f t="shared" si="39"/>
        <v>1.2463000000000004</v>
      </c>
      <c r="AC113" s="40">
        <f t="shared" si="39"/>
        <v>1.3709300000000006</v>
      </c>
      <c r="AE113" s="1">
        <v>0</v>
      </c>
      <c r="AF113" s="1">
        <v>2</v>
      </c>
      <c r="AG113" s="1">
        <v>2</v>
      </c>
      <c r="AH113" s="1">
        <v>10</v>
      </c>
      <c r="AI113" s="1">
        <v>10</v>
      </c>
      <c r="AJ113" s="1">
        <v>10</v>
      </c>
      <c r="AL113" s="1">
        <f t="shared" si="22"/>
        <v>2</v>
      </c>
    </row>
    <row r="114" spans="1:38" x14ac:dyDescent="0.3">
      <c r="A114" s="1">
        <v>109</v>
      </c>
      <c r="B114" s="9" t="s">
        <v>325</v>
      </c>
      <c r="C114" s="160">
        <f>VLOOKUP(MID(B114,1,8)-0,'1.6.2024'!$B$9:$G$160,3,FALSE)</f>
        <v>2835.87</v>
      </c>
      <c r="D114" s="160">
        <f>VLOOKUP(MID(B114,1,8)-0,'1.6.2024'!$B$9:$G$160,5,FALSE)</f>
        <v>2809</v>
      </c>
      <c r="E114" s="10">
        <f>IF('muut muuttujat'!$G$3=1,C114,KÄYTTÖTAULU!$B$13)</f>
        <v>2835.87</v>
      </c>
      <c r="F114" s="10">
        <f>IF('muut muuttujat'!$G$3=1,D114,KÄYTTÖTAULU!$B$13)</f>
        <v>2809</v>
      </c>
      <c r="G114" s="10">
        <f>KÄYTTÖTAULU!$F$6</f>
        <v>0</v>
      </c>
      <c r="H114" s="10">
        <f>KÄYTTÖTAULU!$F$6</f>
        <v>0</v>
      </c>
      <c r="I114" s="10">
        <f>G114*0.84</f>
        <v>0</v>
      </c>
      <c r="J114" s="10">
        <f>H114*0.84</f>
        <v>0</v>
      </c>
      <c r="K114" s="1" t="e">
        <f>ROUND(I114/KÄYTTÖTAULU!$I$8,2)</f>
        <v>#DIV/0!</v>
      </c>
      <c r="L114" s="1" t="e">
        <f>ROUND(J114/KÄYTTÖTAULU!$I$8,2)</f>
        <v>#DIV/0!</v>
      </c>
      <c r="M114" s="1" t="e">
        <f>ROUND(K114*(12/38),2)</f>
        <v>#DIV/0!</v>
      </c>
      <c r="N114" s="1" t="e">
        <f>ROUND(L114*(12/38),2)</f>
        <v>#DIV/0!</v>
      </c>
      <c r="O114" s="10"/>
      <c r="P114" s="211"/>
      <c r="Q114" s="10"/>
      <c r="R114" s="17">
        <v>0</v>
      </c>
      <c r="S114" s="1">
        <v>3</v>
      </c>
      <c r="T114" s="1">
        <v>0</v>
      </c>
      <c r="U114" s="1">
        <v>9</v>
      </c>
      <c r="V114" s="1">
        <v>6</v>
      </c>
      <c r="W114" s="40">
        <v>6</v>
      </c>
      <c r="X114" s="1">
        <v>1</v>
      </c>
      <c r="Y114" s="1">
        <f t="shared" si="29"/>
        <v>1.03</v>
      </c>
      <c r="Z114" s="1">
        <f t="shared" si="30"/>
        <v>1.03</v>
      </c>
      <c r="AA114" s="1">
        <f t="shared" si="31"/>
        <v>1.1227</v>
      </c>
      <c r="AB114" s="1">
        <f t="shared" si="32"/>
        <v>1.1900620000000002</v>
      </c>
      <c r="AC114" s="40">
        <f t="shared" si="33"/>
        <v>1.2614657200000003</v>
      </c>
      <c r="AE114" s="1">
        <v>0</v>
      </c>
      <c r="AF114" s="1">
        <v>2</v>
      </c>
      <c r="AG114" s="1">
        <v>2</v>
      </c>
      <c r="AH114" s="1">
        <v>9</v>
      </c>
      <c r="AI114" s="1">
        <v>6</v>
      </c>
      <c r="AJ114" s="1">
        <v>6</v>
      </c>
      <c r="AL114" s="1">
        <f t="shared" si="22"/>
        <v>2</v>
      </c>
    </row>
    <row r="115" spans="1:38" x14ac:dyDescent="0.3">
      <c r="A115" s="1">
        <v>110</v>
      </c>
      <c r="B115" s="9" t="s">
        <v>326</v>
      </c>
      <c r="C115" s="160">
        <f>VLOOKUP(MID(B115,1,8)-0,'1.6.2024'!$B$9:$G$160,3,FALSE)</f>
        <v>2551.59</v>
      </c>
      <c r="D115" s="160">
        <f>VLOOKUP(MID(B115,1,8)-0,'1.6.2024'!$B$9:$G$160,5,FALSE)</f>
        <v>2527.4299999999998</v>
      </c>
      <c r="E115" s="10">
        <f>IF('muut muuttujat'!$G$3=1,C115,KÄYTTÖTAULU!$B$13)</f>
        <v>2551.59</v>
      </c>
      <c r="F115" s="10">
        <f>IF('muut muuttujat'!$G$3=1,D115,KÄYTTÖTAULU!$B$13)</f>
        <v>2527.4299999999998</v>
      </c>
      <c r="G115" s="10">
        <f>KÄYTTÖTAULU!$F$6</f>
        <v>0</v>
      </c>
      <c r="H115" s="10">
        <f>KÄYTTÖTAULU!$F$6</f>
        <v>0</v>
      </c>
      <c r="I115" s="10">
        <f>G115*0.84</f>
        <v>0</v>
      </c>
      <c r="J115" s="10">
        <f>H115*0.84</f>
        <v>0</v>
      </c>
      <c r="K115" s="1" t="e">
        <f>ROUND(I115/KÄYTTÖTAULU!$I$8,2)</f>
        <v>#DIV/0!</v>
      </c>
      <c r="L115" s="1" t="e">
        <f>ROUND(J115/KÄYTTÖTAULU!$I$8,2)</f>
        <v>#DIV/0!</v>
      </c>
      <c r="M115" s="1" t="e">
        <f>ROUND(K115*(12/38),2)</f>
        <v>#DIV/0!</v>
      </c>
      <c r="N115" s="1" t="e">
        <f>ROUND(L115*(12/38),2)</f>
        <v>#DIV/0!</v>
      </c>
      <c r="O115" s="10"/>
      <c r="P115" s="10"/>
      <c r="Q115" s="10"/>
      <c r="R115" s="17">
        <v>0</v>
      </c>
      <c r="S115" s="1">
        <v>3</v>
      </c>
      <c r="T115" s="1">
        <v>0</v>
      </c>
      <c r="U115" s="1">
        <v>9</v>
      </c>
      <c r="V115" s="1">
        <v>6</v>
      </c>
      <c r="W115" s="40">
        <v>6</v>
      </c>
      <c r="X115" s="1">
        <v>1</v>
      </c>
      <c r="Y115" s="1">
        <f t="shared" si="29"/>
        <v>1.03</v>
      </c>
      <c r="Z115" s="1">
        <f>(1+T115/100)*Y115</f>
        <v>1.03</v>
      </c>
      <c r="AA115" s="1">
        <f>(1+U115/100)*Z115</f>
        <v>1.1227</v>
      </c>
      <c r="AB115" s="1">
        <f t="shared" si="32"/>
        <v>1.1900620000000002</v>
      </c>
      <c r="AC115" s="40">
        <f t="shared" si="33"/>
        <v>1.2614657200000003</v>
      </c>
      <c r="AE115" s="1">
        <v>0</v>
      </c>
      <c r="AF115" s="1">
        <v>2</v>
      </c>
      <c r="AG115" s="1">
        <v>2</v>
      </c>
      <c r="AH115" s="1">
        <v>9</v>
      </c>
      <c r="AI115" s="1">
        <v>6</v>
      </c>
      <c r="AJ115" s="1">
        <v>6</v>
      </c>
      <c r="AL115" s="1">
        <f t="shared" si="22"/>
        <v>2</v>
      </c>
    </row>
    <row r="116" spans="1:38" x14ac:dyDescent="0.3">
      <c r="A116" s="1">
        <v>111</v>
      </c>
      <c r="B116" s="9" t="s">
        <v>327</v>
      </c>
      <c r="C116" s="160">
        <f>VLOOKUP(MID(B116,1,8)-0,'1.6.2024'!$B$9:$G$160,3,FALSE)</f>
        <v>27.51</v>
      </c>
      <c r="D116" s="160"/>
      <c r="E116" s="10"/>
      <c r="F116" s="10"/>
      <c r="G116" s="10"/>
      <c r="H116" s="10"/>
      <c r="I116" s="10"/>
      <c r="J116" s="10"/>
      <c r="O116" s="10"/>
      <c r="P116" s="10"/>
      <c r="Q116" s="193">
        <f>ROUND(ROUND('1.6.2024'!$D$155*IF('muut muuttujat'!$A$11=1,1,IF('muut muuttujat'!$A$11=2,1.06,IF('muut muuttujat'!$A$11=3,(1.06*1.04),IF('muut muuttujat'!$A$11=4,(1.06*1.04*1.04))))),2)*(1+KÄYTTÖTAULU!$M$20/100),2)</f>
        <v>27.51</v>
      </c>
      <c r="R116" s="17"/>
      <c r="W116" s="40"/>
      <c r="AC116" s="40"/>
      <c r="AL116" s="1">
        <f t="shared" si="22"/>
        <v>0</v>
      </c>
    </row>
    <row r="117" spans="1:38" x14ac:dyDescent="0.3">
      <c r="A117" s="1">
        <v>112</v>
      </c>
      <c r="B117" s="9" t="s">
        <v>328</v>
      </c>
      <c r="C117" s="160">
        <f>VLOOKUP(MID(B117,1,8)-0,'1.6.2024'!$B$9:$G$160,3,FALSE)</f>
        <v>3869</v>
      </c>
      <c r="D117" s="160">
        <f>VLOOKUP(MID(B117,1,8)-0,'1.6.2024'!$B$9:$G$160,5,FALSE)</f>
        <v>3831.99</v>
      </c>
      <c r="E117" s="10">
        <f>IF('muut muuttujat'!$G$3=1,C117,KÄYTTÖTAULU!$B$13)</f>
        <v>3869</v>
      </c>
      <c r="F117" s="10">
        <f>IF('muut muuttujat'!$G$3=1,D117,KÄYTTÖTAULU!$B$13)</f>
        <v>3831.99</v>
      </c>
      <c r="G117" s="10">
        <f>KÄYTTÖTAULU!$F$6</f>
        <v>0</v>
      </c>
      <c r="H117" s="10">
        <f>KÄYTTÖTAULU!$F$6</f>
        <v>0</v>
      </c>
      <c r="I117" s="10"/>
      <c r="J117" s="10"/>
      <c r="O117" s="10"/>
      <c r="P117" s="10"/>
      <c r="Q117" s="176"/>
      <c r="R117" s="17">
        <v>0</v>
      </c>
      <c r="S117" s="1">
        <v>0</v>
      </c>
      <c r="T117" s="1">
        <v>0</v>
      </c>
      <c r="U117" s="1">
        <v>5</v>
      </c>
      <c r="V117" s="1">
        <v>4</v>
      </c>
      <c r="W117" s="40">
        <v>6</v>
      </c>
      <c r="X117" s="1">
        <v>1</v>
      </c>
      <c r="Y117" s="1">
        <f>1+S117/100</f>
        <v>1</v>
      </c>
      <c r="Z117" s="1">
        <f t="shared" ref="Z117:AC120" si="40">(1+T117/100)*Y117</f>
        <v>1</v>
      </c>
      <c r="AA117" s="1">
        <f t="shared" si="40"/>
        <v>1.05</v>
      </c>
      <c r="AB117" s="1">
        <f t="shared" si="40"/>
        <v>1.0920000000000001</v>
      </c>
      <c r="AC117" s="40">
        <f t="shared" si="40"/>
        <v>1.1575200000000001</v>
      </c>
      <c r="AE117" s="1">
        <v>0</v>
      </c>
      <c r="AF117" s="1">
        <v>0</v>
      </c>
      <c r="AG117" s="1">
        <v>0</v>
      </c>
      <c r="AH117" s="1">
        <v>5</v>
      </c>
      <c r="AI117" s="1">
        <v>4</v>
      </c>
      <c r="AJ117" s="1">
        <v>6</v>
      </c>
      <c r="AL117" s="1">
        <f t="shared" si="22"/>
        <v>0</v>
      </c>
    </row>
    <row r="118" spans="1:38" x14ac:dyDescent="0.3">
      <c r="A118" s="1">
        <v>113</v>
      </c>
      <c r="B118" s="9" t="s">
        <v>329</v>
      </c>
      <c r="C118" s="160">
        <f>VLOOKUP(MID(B118,1,8)-0,'1.6.2024'!$B$9:$G$160,3,FALSE)</f>
        <v>3586.95</v>
      </c>
      <c r="D118" s="160">
        <f>VLOOKUP(MID(B118,1,8)-0,'1.6.2024'!$B$9:$G$160,5,FALSE)</f>
        <v>3552.93</v>
      </c>
      <c r="E118" s="10">
        <f>IF('muut muuttujat'!$G$3=1,C118,KÄYTTÖTAULU!$B$13)</f>
        <v>3586.95</v>
      </c>
      <c r="F118" s="10">
        <f>IF('muut muuttujat'!$G$3=1,D118,KÄYTTÖTAULU!$B$13)</f>
        <v>3552.93</v>
      </c>
      <c r="G118" s="10">
        <f>KÄYTTÖTAULU!$F$6</f>
        <v>0</v>
      </c>
      <c r="H118" s="10">
        <f>KÄYTTÖTAULU!$F$6</f>
        <v>0</v>
      </c>
      <c r="I118" s="10"/>
      <c r="J118" s="10"/>
      <c r="O118" s="10"/>
      <c r="P118" s="10"/>
      <c r="Q118" s="176"/>
      <c r="R118" s="17">
        <v>0</v>
      </c>
      <c r="S118" s="1">
        <v>3</v>
      </c>
      <c r="T118" s="1">
        <v>0</v>
      </c>
      <c r="U118" s="1">
        <v>5</v>
      </c>
      <c r="V118" s="1">
        <v>0</v>
      </c>
      <c r="W118" s="40">
        <v>0</v>
      </c>
      <c r="X118" s="1">
        <v>1</v>
      </c>
      <c r="Y118" s="1">
        <f>1+S118/100</f>
        <v>1.03</v>
      </c>
      <c r="Z118" s="1">
        <f t="shared" si="40"/>
        <v>1.03</v>
      </c>
      <c r="AA118" s="1">
        <f t="shared" si="40"/>
        <v>1.0815000000000001</v>
      </c>
      <c r="AB118" s="1">
        <f t="shared" si="40"/>
        <v>1.0815000000000001</v>
      </c>
      <c r="AC118" s="40">
        <f t="shared" si="40"/>
        <v>1.0815000000000001</v>
      </c>
      <c r="AE118" s="1">
        <v>0</v>
      </c>
      <c r="AF118" s="1">
        <v>2</v>
      </c>
      <c r="AG118" s="1">
        <v>2</v>
      </c>
      <c r="AH118" s="1">
        <v>5</v>
      </c>
      <c r="AI118" s="1">
        <v>0</v>
      </c>
      <c r="AJ118" s="1">
        <v>0</v>
      </c>
      <c r="AL118" s="1">
        <f t="shared" si="22"/>
        <v>2</v>
      </c>
    </row>
    <row r="119" spans="1:38" x14ac:dyDescent="0.3">
      <c r="A119" s="1">
        <v>114</v>
      </c>
      <c r="B119" s="9" t="s">
        <v>330</v>
      </c>
      <c r="C119" s="160">
        <f>VLOOKUP(MID(B119,1,8)-0,'1.6.2024'!$B$9:$G$160,3,FALSE)</f>
        <v>3497.13</v>
      </c>
      <c r="D119" s="160">
        <f>VLOOKUP(MID(B119,1,8)-0,'1.6.2024'!$B$9:$G$160,5,FALSE)</f>
        <v>3463.95</v>
      </c>
      <c r="E119" s="10">
        <f>IF('muut muuttujat'!$G$3=1,C119,KÄYTTÖTAULU!$B$13)</f>
        <v>3497.13</v>
      </c>
      <c r="F119" s="10">
        <f>IF('muut muuttujat'!$G$3=1,D119,KÄYTTÖTAULU!$B$13)</f>
        <v>3463.95</v>
      </c>
      <c r="G119" s="10">
        <f>KÄYTTÖTAULU!$F$6</f>
        <v>0</v>
      </c>
      <c r="H119" s="10">
        <f>KÄYTTÖTAULU!$F$6</f>
        <v>0</v>
      </c>
      <c r="I119" s="10"/>
      <c r="J119" s="10"/>
      <c r="O119" s="10"/>
      <c r="P119" s="10"/>
      <c r="Q119" s="176"/>
      <c r="R119" s="17">
        <v>0</v>
      </c>
      <c r="S119" s="1">
        <v>3</v>
      </c>
      <c r="T119" s="1">
        <v>0</v>
      </c>
      <c r="U119" s="1">
        <v>5</v>
      </c>
      <c r="V119" s="1">
        <v>0</v>
      </c>
      <c r="W119" s="40">
        <v>0</v>
      </c>
      <c r="X119" s="1">
        <v>1</v>
      </c>
      <c r="Y119" s="1">
        <f>1+S119/100</f>
        <v>1.03</v>
      </c>
      <c r="Z119" s="1">
        <f t="shared" si="40"/>
        <v>1.03</v>
      </c>
      <c r="AA119" s="1">
        <f t="shared" si="40"/>
        <v>1.0815000000000001</v>
      </c>
      <c r="AB119" s="1">
        <f t="shared" si="40"/>
        <v>1.0815000000000001</v>
      </c>
      <c r="AC119" s="40">
        <f t="shared" si="40"/>
        <v>1.0815000000000001</v>
      </c>
      <c r="AE119" s="1">
        <v>0</v>
      </c>
      <c r="AF119" s="1">
        <v>2</v>
      </c>
      <c r="AG119" s="1">
        <v>2</v>
      </c>
      <c r="AH119" s="1">
        <v>5</v>
      </c>
      <c r="AI119" s="1">
        <v>0</v>
      </c>
      <c r="AJ119" s="1">
        <v>0</v>
      </c>
      <c r="AL119" s="1">
        <f t="shared" si="22"/>
        <v>2</v>
      </c>
    </row>
    <row r="120" spans="1:38" x14ac:dyDescent="0.3">
      <c r="A120" s="1">
        <v>115</v>
      </c>
      <c r="B120" s="9" t="s">
        <v>331</v>
      </c>
      <c r="C120" s="160">
        <f>VLOOKUP(MID(B120,1,8)-0,'1.6.2024'!$B$9:$G$160,3,FALSE)</f>
        <v>3002.52</v>
      </c>
      <c r="D120" s="160">
        <f>VLOOKUP(MID(B120,1,8)-0,'1.6.2024'!$B$9:$G$160,5,FALSE)</f>
        <v>2974.05</v>
      </c>
      <c r="E120" s="10">
        <f>IF('muut muuttujat'!$G$3=1,C120,KÄYTTÖTAULU!$B$13)</f>
        <v>3002.52</v>
      </c>
      <c r="F120" s="10">
        <f>IF('muut muuttujat'!$G$3=1,D120,KÄYTTÖTAULU!$B$13)</f>
        <v>2974.05</v>
      </c>
      <c r="G120" s="10">
        <f>KÄYTTÖTAULU!$F$6</f>
        <v>0</v>
      </c>
      <c r="H120" s="10">
        <f>KÄYTTÖTAULU!$F$6</f>
        <v>0</v>
      </c>
      <c r="I120" s="10"/>
      <c r="J120" s="10"/>
      <c r="O120" s="10"/>
      <c r="P120" s="10"/>
      <c r="Q120" s="3"/>
      <c r="R120" s="17">
        <v>0</v>
      </c>
      <c r="S120" s="1">
        <v>3</v>
      </c>
      <c r="T120" s="1">
        <v>0</v>
      </c>
      <c r="U120" s="1">
        <v>5</v>
      </c>
      <c r="V120" s="1">
        <v>0</v>
      </c>
      <c r="W120" s="40">
        <v>0</v>
      </c>
      <c r="X120" s="1">
        <v>1</v>
      </c>
      <c r="Y120" s="1">
        <f>1+S120/100</f>
        <v>1.03</v>
      </c>
      <c r="Z120" s="1">
        <f t="shared" si="40"/>
        <v>1.03</v>
      </c>
      <c r="AA120" s="1">
        <f t="shared" si="40"/>
        <v>1.0815000000000001</v>
      </c>
      <c r="AB120" s="1">
        <f t="shared" si="40"/>
        <v>1.0815000000000001</v>
      </c>
      <c r="AC120" s="40">
        <f t="shared" si="40"/>
        <v>1.0815000000000001</v>
      </c>
      <c r="AE120" s="1">
        <v>0</v>
      </c>
      <c r="AF120" s="1">
        <v>2</v>
      </c>
      <c r="AG120" s="1">
        <v>2</v>
      </c>
      <c r="AH120" s="1">
        <v>5</v>
      </c>
      <c r="AI120" s="1">
        <v>0</v>
      </c>
      <c r="AJ120" s="1">
        <v>0</v>
      </c>
      <c r="AL120" s="1">
        <f t="shared" si="22"/>
        <v>2</v>
      </c>
    </row>
    <row r="121" spans="1:38" x14ac:dyDescent="0.3">
      <c r="A121" s="1">
        <v>116</v>
      </c>
      <c r="B121" s="9" t="s">
        <v>332</v>
      </c>
      <c r="C121" s="160">
        <f>VLOOKUP(MID(B121,1,8)-0,'1.6.2024'!$B$9:$G$160,3,FALSE)</f>
        <v>27.51</v>
      </c>
      <c r="D121" s="160"/>
      <c r="G121" s="1"/>
      <c r="H121" s="1"/>
      <c r="I121" s="1"/>
      <c r="J121" s="1"/>
      <c r="Q121" s="218">
        <f>ROUND(ROUND('1.6.2024'!D160*IF('muut muuttujat'!$A$11=1,1,IF('muut muuttujat'!$A$11=2,1.06,IF('muut muuttujat'!$A$11=3,(1.06*1.04),IF('muut muuttujat'!$A$11=4,(1.06*1.04*1.04))))),2)*(1+KÄYTTÖTAULU!$M$20/100),2)</f>
        <v>27.51</v>
      </c>
      <c r="W121" s="40"/>
      <c r="X121" s="17"/>
      <c r="AC121" s="40"/>
      <c r="AF121" s="10"/>
      <c r="AG121" s="10"/>
    </row>
    <row r="122" spans="1:38" x14ac:dyDescent="0.3">
      <c r="A122" s="1">
        <v>117</v>
      </c>
      <c r="B122" s="217" t="s">
        <v>466</v>
      </c>
      <c r="Q122" s="40"/>
      <c r="S122" s="1">
        <v>3</v>
      </c>
      <c r="U122" s="1">
        <v>8</v>
      </c>
      <c r="W122" s="40"/>
      <c r="X122" s="1">
        <v>1</v>
      </c>
      <c r="Y122" s="1">
        <v>1.03</v>
      </c>
      <c r="Z122" s="1">
        <v>1.03</v>
      </c>
      <c r="AA122" s="1">
        <v>1.08</v>
      </c>
      <c r="AB122" s="1">
        <v>1.08</v>
      </c>
      <c r="AC122" s="40">
        <v>1.08</v>
      </c>
      <c r="AE122" s="194"/>
      <c r="AF122" s="10"/>
      <c r="AG122" s="10"/>
    </row>
    <row r="123" spans="1:38" x14ac:dyDescent="0.3">
      <c r="A123" s="1">
        <v>118</v>
      </c>
      <c r="B123" s="217" t="s">
        <v>467</v>
      </c>
      <c r="Q123" s="40"/>
      <c r="S123" s="1">
        <v>3</v>
      </c>
      <c r="U123" s="1">
        <v>8</v>
      </c>
      <c r="W123" s="40"/>
      <c r="X123" s="1">
        <v>1</v>
      </c>
      <c r="Y123" s="1">
        <v>1.03</v>
      </c>
      <c r="Z123" s="1">
        <v>1.03</v>
      </c>
      <c r="AA123" s="1">
        <v>1.08</v>
      </c>
      <c r="AB123" s="1">
        <v>1.08</v>
      </c>
      <c r="AC123" s="40">
        <v>1.08</v>
      </c>
      <c r="AE123" s="194"/>
      <c r="AF123" s="10"/>
      <c r="AG123" s="10"/>
    </row>
    <row r="124" spans="1:38" x14ac:dyDescent="0.3">
      <c r="A124" s="1">
        <v>119</v>
      </c>
      <c r="B124" s="217" t="s">
        <v>468</v>
      </c>
      <c r="Q124" s="40"/>
      <c r="S124" s="1">
        <v>3</v>
      </c>
      <c r="U124" s="1">
        <v>8</v>
      </c>
      <c r="W124" s="40"/>
      <c r="X124" s="1">
        <v>1</v>
      </c>
      <c r="Y124" s="1">
        <v>1.03</v>
      </c>
      <c r="Z124" s="1">
        <v>1.03</v>
      </c>
      <c r="AA124" s="1">
        <v>1.08</v>
      </c>
      <c r="AB124" s="1">
        <v>1.08</v>
      </c>
      <c r="AC124" s="40">
        <v>1.08</v>
      </c>
      <c r="AE124" s="194"/>
      <c r="AF124" s="10"/>
      <c r="AG124" s="10"/>
    </row>
    <row r="125" spans="1:38" ht="14.4" thickBot="1" x14ac:dyDescent="0.35">
      <c r="A125" s="1">
        <v>120</v>
      </c>
      <c r="B125" s="217" t="s">
        <v>469</v>
      </c>
      <c r="Q125" s="40"/>
      <c r="R125" s="41"/>
      <c r="S125" s="1">
        <v>3</v>
      </c>
      <c r="U125" s="1">
        <v>8</v>
      </c>
      <c r="W125" s="42"/>
      <c r="X125" s="1">
        <v>1</v>
      </c>
      <c r="Y125" s="1">
        <v>1.03</v>
      </c>
      <c r="Z125" s="1">
        <v>1.03</v>
      </c>
      <c r="AA125" s="1">
        <v>1.08</v>
      </c>
      <c r="AB125" s="1">
        <v>1.08</v>
      </c>
      <c r="AC125" s="42">
        <v>1.08</v>
      </c>
      <c r="AE125" s="194"/>
      <c r="AF125" s="10"/>
      <c r="AG125" s="10"/>
    </row>
    <row r="126" spans="1:38" x14ac:dyDescent="0.3">
      <c r="Q126" s="40"/>
      <c r="R126" s="50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E126" s="194"/>
      <c r="AF126" s="10"/>
      <c r="AG126" s="10"/>
    </row>
    <row r="138" spans="2:2" x14ac:dyDescent="0.3">
      <c r="B138" s="11"/>
    </row>
    <row r="139" spans="2:2" x14ac:dyDescent="0.3">
      <c r="B139" s="3"/>
    </row>
    <row r="141" spans="2:2" x14ac:dyDescent="0.3">
      <c r="B141" s="9"/>
    </row>
    <row r="143" spans="2:2" x14ac:dyDescent="0.3">
      <c r="B143" s="11"/>
    </row>
    <row r="149" spans="2:14" x14ac:dyDescent="0.3">
      <c r="C149" s="3"/>
      <c r="D149" s="1"/>
      <c r="F149" s="9"/>
      <c r="G149" s="1"/>
      <c r="H149" s="10"/>
      <c r="I149" s="10"/>
      <c r="J149" s="1"/>
      <c r="K149" s="119"/>
      <c r="L149" s="119"/>
      <c r="M149" s="119"/>
      <c r="N149" s="119"/>
    </row>
    <row r="150" spans="2:14" x14ac:dyDescent="0.3">
      <c r="B150" s="11"/>
      <c r="E150" s="118"/>
      <c r="G150" s="1"/>
      <c r="H150" s="1"/>
      <c r="I150" s="1"/>
      <c r="J150" s="1"/>
      <c r="K150" s="119"/>
      <c r="L150" s="119"/>
      <c r="M150" s="119"/>
      <c r="N150" s="119"/>
    </row>
    <row r="151" spans="2:14" x14ac:dyDescent="0.3">
      <c r="B151" s="3"/>
    </row>
    <row r="153" spans="2:14" x14ac:dyDescent="0.3">
      <c r="B153" s="9"/>
    </row>
    <row r="160" spans="2:14" x14ac:dyDescent="0.3">
      <c r="D160" s="1"/>
      <c r="G160" s="1"/>
      <c r="H160" s="1"/>
      <c r="I160" s="1"/>
      <c r="J160" s="1"/>
    </row>
    <row r="161" spans="2:7" x14ac:dyDescent="0.3">
      <c r="C161" s="12"/>
    </row>
    <row r="162" spans="2:7" x14ac:dyDescent="0.3">
      <c r="C162" s="12"/>
    </row>
    <row r="163" spans="2:7" x14ac:dyDescent="0.3">
      <c r="C163" s="12"/>
    </row>
    <row r="164" spans="2:7" x14ac:dyDescent="0.3">
      <c r="C164" s="12"/>
    </row>
    <row r="165" spans="2:7" x14ac:dyDescent="0.3">
      <c r="C165" s="12"/>
    </row>
    <row r="166" spans="2:7" x14ac:dyDescent="0.3">
      <c r="C166" s="12"/>
      <c r="G166" s="1"/>
    </row>
    <row r="167" spans="2:7" x14ac:dyDescent="0.3">
      <c r="C167" s="12"/>
    </row>
    <row r="168" spans="2:7" x14ac:dyDescent="0.3">
      <c r="C168" s="14"/>
      <c r="D168" s="6"/>
      <c r="E168" s="6"/>
      <c r="G168" s="1"/>
    </row>
    <row r="169" spans="2:7" x14ac:dyDescent="0.3">
      <c r="B169" s="3"/>
      <c r="C169" s="12"/>
    </row>
    <row r="171" spans="2:7" x14ac:dyDescent="0.3">
      <c r="C171" s="15"/>
    </row>
    <row r="173" spans="2:7" x14ac:dyDescent="0.3">
      <c r="B173" s="3"/>
      <c r="C173" s="12"/>
    </row>
    <row r="175" spans="2:7" x14ac:dyDescent="0.3">
      <c r="C175" s="15"/>
    </row>
    <row r="176" spans="2:7" x14ac:dyDescent="0.3">
      <c r="C176" s="15"/>
    </row>
    <row r="177" spans="2:7" x14ac:dyDescent="0.3">
      <c r="C177" s="15"/>
    </row>
    <row r="179" spans="2:7" x14ac:dyDescent="0.3">
      <c r="B179" s="3"/>
      <c r="C179" s="12"/>
    </row>
    <row r="181" spans="2:7" x14ac:dyDescent="0.3">
      <c r="C181" s="15"/>
    </row>
    <row r="182" spans="2:7" x14ac:dyDescent="0.3">
      <c r="C182" s="15"/>
    </row>
    <row r="183" spans="2:7" x14ac:dyDescent="0.3">
      <c r="C183" s="15"/>
    </row>
    <row r="185" spans="2:7" x14ac:dyDescent="0.3">
      <c r="B185" s="3"/>
      <c r="C185" s="12"/>
      <c r="D185" s="6"/>
      <c r="E185" s="6"/>
      <c r="G185" s="1"/>
    </row>
    <row r="186" spans="2:7" x14ac:dyDescent="0.3">
      <c r="C186" s="12"/>
      <c r="D186" s="6"/>
      <c r="E186" s="6"/>
      <c r="G186" s="1"/>
    </row>
    <row r="187" spans="2:7" x14ac:dyDescent="0.3">
      <c r="C187" s="15"/>
      <c r="D187" s="1"/>
      <c r="G187" s="1"/>
    </row>
    <row r="188" spans="2:7" x14ac:dyDescent="0.3">
      <c r="C188" s="15"/>
      <c r="D188" s="6"/>
      <c r="E188" s="6"/>
      <c r="G188" s="1"/>
    </row>
    <row r="189" spans="2:7" x14ac:dyDescent="0.3">
      <c r="C189" s="15"/>
      <c r="G189" s="1"/>
    </row>
    <row r="190" spans="2:7" x14ac:dyDescent="0.3">
      <c r="C190" s="15"/>
      <c r="D190" s="6"/>
      <c r="E190" s="6"/>
      <c r="G190" s="1"/>
    </row>
    <row r="191" spans="2:7" x14ac:dyDescent="0.3">
      <c r="C191" s="15"/>
      <c r="D191" s="6"/>
      <c r="E191" s="6"/>
      <c r="G191" s="1"/>
    </row>
    <row r="192" spans="2:7" x14ac:dyDescent="0.3">
      <c r="B192" s="3"/>
      <c r="C192" s="12"/>
      <c r="G192" s="1"/>
    </row>
    <row r="193" spans="2:7" x14ac:dyDescent="0.3">
      <c r="G193" s="1"/>
    </row>
    <row r="194" spans="2:7" x14ac:dyDescent="0.3">
      <c r="C194" s="2"/>
      <c r="G194" s="1"/>
    </row>
    <row r="195" spans="2:7" x14ac:dyDescent="0.3">
      <c r="G195" s="1"/>
    </row>
    <row r="196" spans="2:7" x14ac:dyDescent="0.3">
      <c r="B196" s="3"/>
      <c r="C196" s="12"/>
      <c r="D196" s="6"/>
      <c r="E196" s="6"/>
      <c r="G196" s="1"/>
    </row>
    <row r="197" spans="2:7" x14ac:dyDescent="0.3">
      <c r="C197" s="14"/>
      <c r="D197" s="6"/>
      <c r="E197" s="14"/>
      <c r="G197" s="1"/>
    </row>
    <row r="198" spans="2:7" x14ac:dyDescent="0.3">
      <c r="C198" s="15"/>
      <c r="D198" s="13"/>
      <c r="E198" s="2"/>
      <c r="G198" s="1"/>
    </row>
    <row r="199" spans="2:7" x14ac:dyDescent="0.3">
      <c r="C199" s="15"/>
      <c r="D199" s="13"/>
      <c r="E199" s="2"/>
      <c r="G199" s="1"/>
    </row>
    <row r="200" spans="2:7" x14ac:dyDescent="0.3">
      <c r="C200" s="12"/>
      <c r="D200" s="1"/>
      <c r="G200" s="1"/>
    </row>
    <row r="201" spans="2:7" x14ac:dyDescent="0.3">
      <c r="C201" s="15"/>
      <c r="D201" s="1"/>
      <c r="G201" s="1"/>
    </row>
    <row r="202" spans="2:7" x14ac:dyDescent="0.3">
      <c r="C202" s="15"/>
      <c r="D202" s="1"/>
      <c r="G202" s="1"/>
    </row>
    <row r="203" spans="2:7" x14ac:dyDescent="0.3">
      <c r="C203" s="15"/>
      <c r="D203" s="1"/>
      <c r="G203" s="1"/>
    </row>
    <row r="204" spans="2:7" x14ac:dyDescent="0.3">
      <c r="C204" s="15"/>
      <c r="D204" s="6"/>
      <c r="E204" s="14"/>
      <c r="G204" s="1"/>
    </row>
    <row r="205" spans="2:7" x14ac:dyDescent="0.3">
      <c r="C205" s="2"/>
      <c r="D205" s="6"/>
      <c r="E205" s="14"/>
      <c r="G205" s="1"/>
    </row>
    <row r="206" spans="2:7" x14ac:dyDescent="0.3">
      <c r="B206" s="3"/>
      <c r="C206" s="12"/>
      <c r="G206" s="1"/>
    </row>
    <row r="207" spans="2:7" x14ac:dyDescent="0.3">
      <c r="C207" s="14"/>
    </row>
    <row r="208" spans="2:7" x14ac:dyDescent="0.3">
      <c r="C208" s="2"/>
      <c r="D208" s="6"/>
      <c r="E208" s="6"/>
      <c r="G208" s="1"/>
    </row>
    <row r="209" spans="2:7" x14ac:dyDescent="0.3">
      <c r="C209" s="2"/>
      <c r="D209" s="1"/>
      <c r="G209" s="1"/>
    </row>
    <row r="210" spans="2:7" x14ac:dyDescent="0.3">
      <c r="C210" s="6"/>
      <c r="D210" s="1"/>
      <c r="G210" s="1"/>
    </row>
    <row r="211" spans="2:7" x14ac:dyDescent="0.3">
      <c r="G211" s="1"/>
    </row>
    <row r="212" spans="2:7" x14ac:dyDescent="0.3">
      <c r="B212" s="3"/>
      <c r="C212" s="12"/>
      <c r="D212" s="6"/>
      <c r="E212" s="6"/>
      <c r="G212" s="1"/>
    </row>
    <row r="213" spans="2:7" x14ac:dyDescent="0.3">
      <c r="D213" s="6"/>
      <c r="E213" s="6"/>
      <c r="G213" s="1"/>
    </row>
    <row r="214" spans="2:7" x14ac:dyDescent="0.3">
      <c r="C214" s="2"/>
      <c r="D214" s="1"/>
      <c r="G214" s="1"/>
    </row>
    <row r="215" spans="2:7" x14ac:dyDescent="0.3">
      <c r="C215" s="6"/>
      <c r="D215" s="1"/>
      <c r="G215" s="1"/>
    </row>
    <row r="216" spans="2:7" x14ac:dyDescent="0.3">
      <c r="C216" s="6"/>
      <c r="D216" s="1"/>
    </row>
    <row r="217" spans="2:7" x14ac:dyDescent="0.3">
      <c r="D217" s="1"/>
    </row>
    <row r="218" spans="2:7" x14ac:dyDescent="0.3">
      <c r="D218" s="1"/>
    </row>
    <row r="219" spans="2:7" x14ac:dyDescent="0.3">
      <c r="D219" s="1"/>
    </row>
  </sheetData>
  <customSheetViews>
    <customSheetView guid="{47112B69-009E-46FE-82EA-A4F5B6C4FF1D}" showRuler="0">
      <pane xSplit="2" ySplit="5" topLeftCell="L124" activePane="bottomRight" state="frozen"/>
      <selection pane="bottomRight" activeCell="B144" sqref="B144"/>
      <pageMargins left="0.19685039370078741" right="0.19685039370078741" top="0.55118110236220474" bottom="0.35433070866141736" header="0.51181102362204722" footer="0.51181102362204722"/>
      <pageSetup paperSize="9" scale="85" orientation="portrait" r:id="rId1"/>
      <headerFooter alignWithMargins="0"/>
    </customSheetView>
  </customSheetViews>
  <phoneticPr fontId="2" type="noConversion"/>
  <pageMargins left="0.19685039370078741" right="0.19685039370078741" top="0.55118110236220474" bottom="0.35433070866141736" header="0.51181102362204722" footer="0.51181102362204722"/>
  <pageSetup paperSize="9" scale="85" orientation="portrait" r:id="rId2"/>
  <headerFooter alignWithMargins="0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U34"/>
  <sheetViews>
    <sheetView topLeftCell="A14" zoomScaleNormal="100" workbookViewId="0">
      <selection activeCell="N11" sqref="N11"/>
    </sheetView>
  </sheetViews>
  <sheetFormatPr defaultRowHeight="12.6" x14ac:dyDescent="0.25"/>
  <cols>
    <col min="2" max="2" width="48.33203125" customWidth="1"/>
    <col min="4" max="4" width="11.5546875" customWidth="1"/>
    <col min="20" max="20" width="7.44140625" customWidth="1"/>
  </cols>
  <sheetData>
    <row r="1" spans="1:21" ht="13.8" x14ac:dyDescent="0.25">
      <c r="A1" s="117" t="s">
        <v>349</v>
      </c>
    </row>
    <row r="3" spans="1:21" ht="13.2" thickBot="1" x14ac:dyDescent="0.3">
      <c r="C3" t="s">
        <v>169</v>
      </c>
      <c r="D3" t="s">
        <v>169</v>
      </c>
      <c r="E3" t="s">
        <v>169</v>
      </c>
      <c r="F3" t="s">
        <v>169</v>
      </c>
      <c r="G3" t="s">
        <v>169</v>
      </c>
      <c r="H3" t="s">
        <v>169</v>
      </c>
      <c r="I3" t="s">
        <v>170</v>
      </c>
      <c r="J3" t="s">
        <v>170</v>
      </c>
      <c r="K3" t="s">
        <v>170</v>
      </c>
      <c r="L3" t="s">
        <v>170</v>
      </c>
      <c r="M3" t="s">
        <v>170</v>
      </c>
      <c r="N3" t="s">
        <v>170</v>
      </c>
    </row>
    <row r="4" spans="1:21" ht="14.4" thickBot="1" x14ac:dyDescent="0.35">
      <c r="A4" s="133">
        <v>1</v>
      </c>
      <c r="B4" t="s">
        <v>164</v>
      </c>
      <c r="C4" t="s">
        <v>159</v>
      </c>
      <c r="D4" t="s">
        <v>335</v>
      </c>
      <c r="E4" t="s">
        <v>334</v>
      </c>
      <c r="F4" t="s">
        <v>160</v>
      </c>
      <c r="G4" t="s">
        <v>161</v>
      </c>
      <c r="H4" t="s">
        <v>336</v>
      </c>
      <c r="I4" t="s">
        <v>159</v>
      </c>
      <c r="J4" t="s">
        <v>335</v>
      </c>
      <c r="K4" t="s">
        <v>334</v>
      </c>
      <c r="L4" t="s">
        <v>160</v>
      </c>
      <c r="M4" t="s">
        <v>161</v>
      </c>
      <c r="N4" t="s">
        <v>336</v>
      </c>
      <c r="U4" s="1"/>
    </row>
    <row r="5" spans="1:21" ht="13.2" x14ac:dyDescent="0.25">
      <c r="A5" s="219">
        <v>1</v>
      </c>
      <c r="B5" t="s">
        <v>460</v>
      </c>
      <c r="C5" s="212">
        <f>'1.6.2024'!D129</f>
        <v>3742.6</v>
      </c>
      <c r="D5" s="212">
        <f>'1.6.2024'!E129</f>
        <v>3949.61</v>
      </c>
      <c r="E5" s="212">
        <f>'1.6.2024'!F129</f>
        <v>4095.89</v>
      </c>
      <c r="F5" s="212">
        <f>'1.6.2024'!G129</f>
        <v>4324.1099999999997</v>
      </c>
      <c r="G5" s="212">
        <f>'1.6.2024'!H129</f>
        <v>4566.0200000000004</v>
      </c>
      <c r="H5" s="212">
        <f>'1.6.2024'!I129</f>
        <v>4822.47</v>
      </c>
      <c r="I5" s="212">
        <f>'1.6.2024'!J129</f>
        <v>3707.05</v>
      </c>
      <c r="J5" s="212">
        <f>'1.6.2024'!K129</f>
        <v>3912.1</v>
      </c>
      <c r="K5" s="212">
        <f>'1.6.2024'!L129</f>
        <v>4057.03</v>
      </c>
      <c r="L5" s="212">
        <f>'1.6.2024'!M129</f>
        <v>4283.07</v>
      </c>
      <c r="M5" s="212">
        <f>'1.6.2024'!N129</f>
        <v>4522.7</v>
      </c>
      <c r="N5" s="212">
        <f>'1.6.2024'!O129</f>
        <v>4776.68</v>
      </c>
    </row>
    <row r="6" spans="1:21" ht="13.2" x14ac:dyDescent="0.25">
      <c r="A6" s="219">
        <v>2</v>
      </c>
      <c r="B6" t="s">
        <v>337</v>
      </c>
      <c r="C6" s="212">
        <f>'1.6.2024'!D130</f>
        <v>3429.14</v>
      </c>
      <c r="D6" s="212">
        <f>'1.6.2024'!E130</f>
        <v>3497.71</v>
      </c>
      <c r="E6" s="212">
        <f>'1.6.2024'!F130</f>
        <v>3602.64</v>
      </c>
      <c r="F6" s="212">
        <f>'1.6.2024'!G130</f>
        <v>3782.76</v>
      </c>
      <c r="G6" s="212">
        <f>'1.6.2024'!H130</f>
        <v>4083.74</v>
      </c>
      <c r="H6" s="212">
        <f>'1.6.2024'!I130</f>
        <v>4247.09</v>
      </c>
      <c r="I6" s="212">
        <f>'1.6.2024'!J130</f>
        <v>3396.1</v>
      </c>
      <c r="J6" s="212">
        <f>'1.6.2024'!K130</f>
        <v>3464.01</v>
      </c>
      <c r="K6" s="212">
        <f>'1.6.2024'!L130</f>
        <v>3567.94</v>
      </c>
      <c r="L6" s="212">
        <f>'1.6.2024'!M130</f>
        <v>3746.37</v>
      </c>
      <c r="M6" s="212">
        <f>'1.6.2024'!N130</f>
        <v>4044.41</v>
      </c>
      <c r="N6" s="212">
        <f>'1.6.2024'!O130</f>
        <v>4206.1899999999996</v>
      </c>
    </row>
    <row r="7" spans="1:21" ht="13.8" x14ac:dyDescent="0.3">
      <c r="A7" s="219">
        <v>3</v>
      </c>
      <c r="B7" t="s">
        <v>338</v>
      </c>
      <c r="C7" s="212">
        <f>'1.6.2024'!D131</f>
        <v>3742.6</v>
      </c>
      <c r="D7" s="212">
        <f>'1.6.2024'!E131</f>
        <v>3949.61</v>
      </c>
      <c r="E7" s="212">
        <f>'1.6.2024'!F131</f>
        <v>4095.89</v>
      </c>
      <c r="F7" s="212">
        <f>'1.6.2024'!G131</f>
        <v>4324.1099999999997</v>
      </c>
      <c r="G7" s="212">
        <f>'1.6.2024'!H131</f>
        <v>4566.0200000000004</v>
      </c>
      <c r="H7" s="212">
        <f>'1.6.2024'!I131</f>
        <v>4822.47</v>
      </c>
      <c r="I7" s="212">
        <f>'1.6.2024'!J131</f>
        <v>3707.05</v>
      </c>
      <c r="J7" s="212">
        <f>'1.6.2024'!K131</f>
        <v>3912.1</v>
      </c>
      <c r="K7" s="212">
        <f>'1.6.2024'!L131</f>
        <v>4057.03</v>
      </c>
      <c r="L7" s="212">
        <f>'1.6.2024'!M131</f>
        <v>4283.07</v>
      </c>
      <c r="M7" s="212">
        <f>'1.6.2024'!N131</f>
        <v>4522.7</v>
      </c>
      <c r="N7" s="212">
        <f>'1.6.2024'!O131</f>
        <v>4776.68</v>
      </c>
      <c r="U7" s="1"/>
    </row>
    <row r="8" spans="1:21" ht="13.8" x14ac:dyDescent="0.3">
      <c r="A8" s="219">
        <v>4</v>
      </c>
      <c r="B8" t="s">
        <v>339</v>
      </c>
      <c r="C8" s="212">
        <f>'1.6.2024'!D133</f>
        <v>3309.6</v>
      </c>
      <c r="D8" s="212">
        <f>'1.6.2024'!E133</f>
        <v>3492.67</v>
      </c>
      <c r="E8" s="212">
        <f>'1.6.2024'!F133</f>
        <v>3622.05</v>
      </c>
      <c r="F8" s="212">
        <f>'1.6.2024'!G133</f>
        <v>3823.86</v>
      </c>
      <c r="G8" s="212">
        <f>'1.6.2024'!H133</f>
        <v>4037.78</v>
      </c>
      <c r="H8" s="212">
        <f>'1.6.2024'!I133</f>
        <v>4264.54</v>
      </c>
      <c r="I8" s="212">
        <f>'1.6.2024'!J133</f>
        <v>3278.19</v>
      </c>
      <c r="J8" s="212">
        <f>'1.6.2024'!K133</f>
        <v>3459.53</v>
      </c>
      <c r="K8" s="212">
        <f>'1.6.2024'!L133</f>
        <v>3587.67</v>
      </c>
      <c r="L8" s="212">
        <f>'1.6.2024'!M133</f>
        <v>3787.56</v>
      </c>
      <c r="M8" s="212">
        <f>'1.6.2024'!N133</f>
        <v>3999.47</v>
      </c>
      <c r="N8" s="212">
        <f>'1.6.2024'!O133</f>
        <v>4224.07</v>
      </c>
      <c r="U8" s="1"/>
    </row>
    <row r="9" spans="1:21" ht="13.8" x14ac:dyDescent="0.3">
      <c r="A9" s="219">
        <v>5</v>
      </c>
      <c r="B9" t="s">
        <v>340</v>
      </c>
      <c r="C9" s="212">
        <f>'1.6.2024'!D135</f>
        <v>3043.24</v>
      </c>
      <c r="D9" s="212">
        <f>'1.6.2024'!E135</f>
        <v>3211.58</v>
      </c>
      <c r="E9" s="212">
        <f>'1.6.2024'!F135</f>
        <v>3330.53</v>
      </c>
      <c r="F9" s="212">
        <f>'1.6.2024'!G135</f>
        <v>3516.12</v>
      </c>
      <c r="G9" s="212">
        <f>'1.6.2024'!H135</f>
        <v>3712.83</v>
      </c>
      <c r="H9" s="212">
        <f>'1.6.2024'!I135</f>
        <v>3921.34</v>
      </c>
      <c r="I9" s="212">
        <f>'1.6.2024'!J135</f>
        <v>3014.41</v>
      </c>
      <c r="J9" s="212">
        <f>'1.6.2024'!K135</f>
        <v>3181.16</v>
      </c>
      <c r="K9" s="212">
        <f>'1.6.2024'!L135</f>
        <v>3298.98</v>
      </c>
      <c r="L9" s="212">
        <f>'1.6.2024'!M135</f>
        <v>3482.82</v>
      </c>
      <c r="M9" s="212">
        <f>'1.6.2024'!N135</f>
        <v>3677.66</v>
      </c>
      <c r="N9" s="212">
        <f>'1.6.2024'!O135</f>
        <v>3884.19</v>
      </c>
      <c r="U9" s="1"/>
    </row>
    <row r="10" spans="1:21" ht="13.8" x14ac:dyDescent="0.3">
      <c r="A10" s="219">
        <v>6</v>
      </c>
      <c r="B10" t="s">
        <v>341</v>
      </c>
      <c r="C10" s="212">
        <f>'1.6.2024'!D137</f>
        <v>3037.39</v>
      </c>
      <c r="D10" s="212">
        <f>'1.6.2024'!E137</f>
        <v>3205.4</v>
      </c>
      <c r="E10" s="212">
        <f>'1.6.2024'!F137</f>
        <v>3324.14</v>
      </c>
      <c r="F10" s="212">
        <f>'1.6.2024'!G137</f>
        <v>3509.35</v>
      </c>
      <c r="G10" s="212">
        <f>'1.6.2024'!H137</f>
        <v>3705.68</v>
      </c>
      <c r="H10" s="212">
        <f>'1.6.2024'!I137</f>
        <v>3913.78</v>
      </c>
      <c r="I10" s="212">
        <f>'1.6.2024'!J137</f>
        <v>3008.51</v>
      </c>
      <c r="J10" s="212">
        <f>'1.6.2024'!K137</f>
        <v>3174.96</v>
      </c>
      <c r="K10" s="212">
        <f>'1.6.2024'!L137</f>
        <v>3292.56</v>
      </c>
      <c r="L10" s="212">
        <f>'1.6.2024'!M137</f>
        <v>3476.02</v>
      </c>
      <c r="M10" s="212">
        <f>'1.6.2024'!N137</f>
        <v>3670.47</v>
      </c>
      <c r="N10" s="212">
        <f>'1.6.2024'!O137</f>
        <v>3876.6</v>
      </c>
      <c r="U10" s="1"/>
    </row>
    <row r="11" spans="1:21" ht="13.8" x14ac:dyDescent="0.3">
      <c r="A11" s="219">
        <v>7</v>
      </c>
      <c r="B11" t="s">
        <v>342</v>
      </c>
      <c r="C11" s="212">
        <f>'1.6.2024'!D132</f>
        <v>3742.6</v>
      </c>
      <c r="D11" s="212">
        <f>'1.6.2024'!E132</f>
        <v>3949.61</v>
      </c>
      <c r="E11" s="212">
        <f>'1.6.2024'!F132</f>
        <v>4095.89</v>
      </c>
      <c r="F11" s="212">
        <f>'1.6.2024'!G132</f>
        <v>4324.1099999999997</v>
      </c>
      <c r="G11" s="212">
        <f>'1.6.2024'!H132</f>
        <v>4566.0200000000004</v>
      </c>
      <c r="H11" s="212">
        <f>'1.6.2024'!I132</f>
        <v>4822.47</v>
      </c>
      <c r="I11" s="212">
        <f>'1.6.2024'!J132</f>
        <v>3707.05</v>
      </c>
      <c r="J11" s="212">
        <f>'1.6.2024'!K132</f>
        <v>3912.1</v>
      </c>
      <c r="K11" s="212">
        <f>'1.6.2024'!L132</f>
        <v>4057.03</v>
      </c>
      <c r="L11" s="212">
        <f>'1.6.2024'!M132</f>
        <v>4283.07</v>
      </c>
      <c r="M11" s="212">
        <f>'1.6.2024'!N132</f>
        <v>4522.7</v>
      </c>
      <c r="N11" s="212">
        <f>'1.6.2024'!O132</f>
        <v>4776.68</v>
      </c>
      <c r="U11" s="1"/>
    </row>
    <row r="12" spans="1:21" ht="13.8" x14ac:dyDescent="0.3">
      <c r="A12" s="219">
        <v>8</v>
      </c>
      <c r="B12" t="s">
        <v>343</v>
      </c>
      <c r="C12" s="212">
        <f>'1.6.2024'!D134</f>
        <v>3309.6</v>
      </c>
      <c r="D12" s="212">
        <f>'1.6.2024'!E134</f>
        <v>3492.67</v>
      </c>
      <c r="E12" s="212">
        <f>'1.6.2024'!F134</f>
        <v>3622.05</v>
      </c>
      <c r="F12" s="212">
        <f>'1.6.2024'!G134</f>
        <v>3823.86</v>
      </c>
      <c r="G12" s="212">
        <f>'1.6.2024'!H134</f>
        <v>4037.78</v>
      </c>
      <c r="H12" s="212">
        <f>'1.6.2024'!I134</f>
        <v>4264.54</v>
      </c>
      <c r="I12" s="212">
        <f>'1.6.2024'!J134</f>
        <v>3278.19</v>
      </c>
      <c r="J12" s="212">
        <f>'1.6.2024'!K134</f>
        <v>3459.53</v>
      </c>
      <c r="K12" s="212">
        <f>'1.6.2024'!L134</f>
        <v>3587.67</v>
      </c>
      <c r="L12" s="212">
        <f>'1.6.2024'!M134</f>
        <v>3787.56</v>
      </c>
      <c r="M12" s="212">
        <f>'1.6.2024'!N134</f>
        <v>3999.47</v>
      </c>
      <c r="N12" s="212">
        <f>'1.6.2024'!O134</f>
        <v>4224.07</v>
      </c>
      <c r="U12" s="1"/>
    </row>
    <row r="13" spans="1:21" ht="13.8" x14ac:dyDescent="0.3">
      <c r="A13" s="219">
        <v>9</v>
      </c>
      <c r="B13" t="s">
        <v>344</v>
      </c>
      <c r="C13" s="212">
        <f>'1.6.2024'!D136</f>
        <v>3043.24</v>
      </c>
      <c r="D13" s="212">
        <f>'1.6.2024'!E136</f>
        <v>3211.58</v>
      </c>
      <c r="E13" s="212">
        <f>'1.6.2024'!F136</f>
        <v>3330.53</v>
      </c>
      <c r="F13" s="212">
        <f>'1.6.2024'!G136</f>
        <v>3516.12</v>
      </c>
      <c r="G13" s="212">
        <f>'1.6.2024'!H136</f>
        <v>3712.83</v>
      </c>
      <c r="H13" s="212">
        <f>'1.6.2024'!I136</f>
        <v>3921.34</v>
      </c>
      <c r="I13" s="212">
        <f>'1.6.2024'!J136</f>
        <v>3014.41</v>
      </c>
      <c r="J13" s="212">
        <f>'1.6.2024'!K136</f>
        <v>3181.16</v>
      </c>
      <c r="K13" s="212">
        <f>'1.6.2024'!L136</f>
        <v>3298.98</v>
      </c>
      <c r="L13" s="212">
        <f>'1.6.2024'!M136</f>
        <v>3482.82</v>
      </c>
      <c r="M13" s="212">
        <f>'1.6.2024'!N136</f>
        <v>3677.66</v>
      </c>
      <c r="N13" s="212">
        <f>'1.6.2024'!O136</f>
        <v>3884.19</v>
      </c>
      <c r="U13" s="1"/>
    </row>
    <row r="14" spans="1:21" ht="13.8" x14ac:dyDescent="0.3">
      <c r="A14" s="219">
        <v>10</v>
      </c>
      <c r="B14" t="s">
        <v>345</v>
      </c>
      <c r="C14" s="212">
        <f>'1.6.2024'!D138</f>
        <v>3037.39</v>
      </c>
      <c r="D14" s="212">
        <f>'1.6.2024'!E138</f>
        <v>3205.4</v>
      </c>
      <c r="E14" s="212">
        <f>'1.6.2024'!F138</f>
        <v>3324.14</v>
      </c>
      <c r="F14" s="212">
        <f>'1.6.2024'!G138</f>
        <v>3509.35</v>
      </c>
      <c r="G14" s="212">
        <f>'1.6.2024'!H138</f>
        <v>3705.68</v>
      </c>
      <c r="H14" s="212">
        <f>'1.6.2024'!I138</f>
        <v>3913.78</v>
      </c>
      <c r="I14" s="212">
        <f>'1.6.2024'!J138</f>
        <v>3008.51</v>
      </c>
      <c r="J14" s="212">
        <f>'1.6.2024'!K138</f>
        <v>3174.96</v>
      </c>
      <c r="K14" s="212">
        <f>'1.6.2024'!L138</f>
        <v>3292.56</v>
      </c>
      <c r="L14" s="212">
        <f>'1.6.2024'!M138</f>
        <v>3476.02</v>
      </c>
      <c r="M14" s="212">
        <f>'1.6.2024'!N138</f>
        <v>3670.47</v>
      </c>
      <c r="N14" s="212">
        <f>'1.6.2024'!O138</f>
        <v>3876.6</v>
      </c>
      <c r="U14" s="1"/>
    </row>
    <row r="15" spans="1:21" s="204" customFormat="1" ht="13.2" x14ac:dyDescent="0.25"/>
    <row r="16" spans="1:21" ht="13.8" x14ac:dyDescent="0.3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U16" s="1"/>
    </row>
    <row r="17" spans="1:21" ht="13.8" x14ac:dyDescent="0.3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U17" s="1"/>
    </row>
    <row r="18" spans="1:21" ht="13.8" thickBot="1" x14ac:dyDescent="0.3">
      <c r="C18" s="210"/>
      <c r="D18" s="208"/>
      <c r="E18" s="208"/>
      <c r="F18" s="208"/>
      <c r="G18" s="208"/>
      <c r="H18" s="208"/>
      <c r="I18" s="208"/>
      <c r="J18" s="208"/>
      <c r="K18" s="208"/>
    </row>
    <row r="19" spans="1:21" ht="87" customHeight="1" thickBot="1" x14ac:dyDescent="0.35">
      <c r="A19" s="18">
        <v>1</v>
      </c>
      <c r="B19" s="1" t="s">
        <v>0</v>
      </c>
      <c r="C19" s="209"/>
      <c r="D19" s="209"/>
      <c r="E19" s="209"/>
      <c r="F19" s="209"/>
      <c r="G19" s="209"/>
      <c r="H19" s="209"/>
      <c r="I19" s="209"/>
      <c r="J19" s="209"/>
      <c r="K19" s="209"/>
    </row>
    <row r="20" spans="1:21" ht="13.8" x14ac:dyDescent="0.3">
      <c r="A20" s="1">
        <v>1</v>
      </c>
      <c r="B20" s="1" t="s">
        <v>2</v>
      </c>
      <c r="C20" s="207"/>
      <c r="D20" s="206"/>
      <c r="E20" s="206"/>
      <c r="F20" s="206"/>
      <c r="G20" s="206"/>
      <c r="H20" s="206"/>
      <c r="I20" s="206"/>
      <c r="J20" s="206"/>
      <c r="K20" s="206"/>
    </row>
    <row r="21" spans="1:21" ht="13.8" x14ac:dyDescent="0.3">
      <c r="A21" s="1">
        <v>2</v>
      </c>
      <c r="B21" s="1" t="s">
        <v>3</v>
      </c>
      <c r="C21" s="207"/>
      <c r="D21" s="206"/>
      <c r="E21" s="206"/>
      <c r="F21" s="206"/>
      <c r="G21" s="206"/>
      <c r="H21" s="206"/>
      <c r="I21" s="206"/>
      <c r="J21" s="206"/>
      <c r="K21" s="206"/>
    </row>
    <row r="22" spans="1:21" ht="13.2" x14ac:dyDescent="0.25">
      <c r="C22" s="207"/>
      <c r="D22" s="206"/>
      <c r="E22" s="206"/>
      <c r="F22" s="206"/>
      <c r="G22" s="206"/>
      <c r="H22" s="206"/>
      <c r="I22" s="206"/>
      <c r="J22" s="206"/>
      <c r="K22" s="206"/>
    </row>
    <row r="24" spans="1:21" ht="13.8" x14ac:dyDescent="0.3">
      <c r="A24" s="3">
        <v>1</v>
      </c>
      <c r="B24" s="1" t="s">
        <v>220</v>
      </c>
    </row>
    <row r="25" spans="1:21" ht="13.8" x14ac:dyDescent="0.3">
      <c r="A25">
        <v>1</v>
      </c>
      <c r="B25" s="1" t="s">
        <v>104</v>
      </c>
    </row>
    <row r="26" spans="1:21" ht="13.8" x14ac:dyDescent="0.3">
      <c r="A26">
        <v>2</v>
      </c>
      <c r="B26" s="1" t="s">
        <v>98</v>
      </c>
    </row>
    <row r="27" spans="1:21" ht="13.8" x14ac:dyDescent="0.3">
      <c r="A27">
        <v>3</v>
      </c>
      <c r="B27" s="1" t="s">
        <v>99</v>
      </c>
    </row>
    <row r="28" spans="1:21" ht="13.8" x14ac:dyDescent="0.3">
      <c r="A28">
        <v>4</v>
      </c>
      <c r="B28" s="1" t="s">
        <v>100</v>
      </c>
    </row>
    <row r="29" spans="1:21" ht="13.8" x14ac:dyDescent="0.3">
      <c r="A29">
        <v>5</v>
      </c>
      <c r="B29" s="1" t="s">
        <v>101</v>
      </c>
    </row>
    <row r="30" spans="1:21" s="186" customFormat="1" ht="13.8" x14ac:dyDescent="0.3">
      <c r="A30">
        <v>6</v>
      </c>
      <c r="B30" s="1" t="s">
        <v>102</v>
      </c>
    </row>
    <row r="33" spans="1:13" ht="15" customHeight="1" x14ac:dyDescent="0.3">
      <c r="A33" s="215"/>
      <c r="B33" s="9"/>
      <c r="C33" s="214"/>
      <c r="D33" s="216"/>
      <c r="E33" s="216"/>
      <c r="F33" s="216"/>
      <c r="G33" s="216"/>
      <c r="H33" s="216"/>
      <c r="I33" s="216"/>
      <c r="J33" s="216"/>
      <c r="K33" s="216"/>
      <c r="L33" s="216"/>
      <c r="M33" s="216"/>
    </row>
    <row r="34" spans="1:13" ht="15" customHeight="1" x14ac:dyDescent="0.3">
      <c r="A34" s="215"/>
      <c r="B34" s="9"/>
      <c r="C34" s="214"/>
      <c r="D34" s="216"/>
      <c r="E34" s="216"/>
      <c r="F34" s="216"/>
      <c r="G34" s="216"/>
      <c r="H34" s="216"/>
      <c r="I34" s="216"/>
      <c r="J34" s="216"/>
      <c r="K34" s="216"/>
      <c r="L34" s="216"/>
      <c r="M34" s="216"/>
    </row>
  </sheetData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S160"/>
  <sheetViews>
    <sheetView zoomScale="80" zoomScaleNormal="80" workbookViewId="0">
      <selection activeCell="J14" sqref="J14"/>
    </sheetView>
  </sheetViews>
  <sheetFormatPr defaultColWidth="17.6640625" defaultRowHeight="13.2" x14ac:dyDescent="0.25"/>
  <cols>
    <col min="1" max="1" width="10" style="204" customWidth="1"/>
    <col min="2" max="2" width="10.33203125" style="204" customWidth="1"/>
    <col min="3" max="3" width="61.33203125" style="204" customWidth="1"/>
    <col min="4" max="16384" width="17.6640625" style="204"/>
  </cols>
  <sheetData>
    <row r="1" spans="1:7" x14ac:dyDescent="0.25">
      <c r="A1" s="205" t="s">
        <v>590</v>
      </c>
    </row>
    <row r="2" spans="1:7" x14ac:dyDescent="0.25">
      <c r="A2" s="205"/>
    </row>
    <row r="3" spans="1:7" x14ac:dyDescent="0.25">
      <c r="A3" s="205"/>
    </row>
    <row r="4" spans="1:7" x14ac:dyDescent="0.25">
      <c r="A4" s="205" t="s">
        <v>179</v>
      </c>
    </row>
    <row r="5" spans="1:7" x14ac:dyDescent="0.25">
      <c r="A5" s="205" t="s">
        <v>181</v>
      </c>
    </row>
    <row r="6" spans="1:7" x14ac:dyDescent="0.25">
      <c r="A6" s="205" t="s">
        <v>452</v>
      </c>
      <c r="B6" s="204" t="s">
        <v>180</v>
      </c>
    </row>
    <row r="7" spans="1:7" x14ac:dyDescent="0.25">
      <c r="B7" s="204" t="s">
        <v>182</v>
      </c>
      <c r="D7" s="204" t="s">
        <v>162</v>
      </c>
      <c r="E7" s="204" t="s">
        <v>163</v>
      </c>
      <c r="F7" s="204" t="s">
        <v>162</v>
      </c>
      <c r="G7" s="204" t="s">
        <v>163</v>
      </c>
    </row>
    <row r="8" spans="1:7" x14ac:dyDescent="0.25">
      <c r="B8" s="204" t="s">
        <v>4</v>
      </c>
      <c r="D8" s="204" t="s">
        <v>2</v>
      </c>
      <c r="E8" s="204" t="s">
        <v>2</v>
      </c>
      <c r="F8" s="204" t="s">
        <v>3</v>
      </c>
      <c r="G8" s="204" t="s">
        <v>3</v>
      </c>
    </row>
    <row r="9" spans="1:7" x14ac:dyDescent="0.25">
      <c r="A9" s="204" t="s">
        <v>183</v>
      </c>
      <c r="B9" s="204">
        <v>40301101</v>
      </c>
      <c r="C9" s="204" t="s">
        <v>364</v>
      </c>
      <c r="D9" s="212">
        <f>VLOOKUP($B9,Taul1!$A$12:$F$391,3,FALSE)</f>
        <v>4092.18</v>
      </c>
      <c r="E9" s="212">
        <f>VLOOKUP($B9,Taul1!$A$12:$F$391,4,FALSE)</f>
        <v>4394.8500000000004</v>
      </c>
      <c r="F9" s="212">
        <f>VLOOKUP($B9,Taul1!$A$12:$F$391,5,FALSE)</f>
        <v>4053.04</v>
      </c>
      <c r="G9" s="212">
        <f>VLOOKUP($B9,Taul1!$A$12:$F$391,6,FALSE)</f>
        <v>4352.76</v>
      </c>
    </row>
    <row r="10" spans="1:7" x14ac:dyDescent="0.25">
      <c r="A10" s="204" t="s">
        <v>183</v>
      </c>
      <c r="B10" s="204">
        <v>40301201</v>
      </c>
      <c r="C10" s="204" t="s">
        <v>365</v>
      </c>
      <c r="D10" s="212">
        <f>VLOOKUP($B10,Taul1!$A$12:$F$391,3,FALSE)</f>
        <v>4227.1499999999996</v>
      </c>
      <c r="E10" s="212">
        <f>VLOOKUP($B10,Taul1!$A$12:$F$391,4,FALSE)</f>
        <v>4571.8599999999997</v>
      </c>
      <c r="F10" s="212">
        <f>VLOOKUP($B10,Taul1!$A$12:$F$391,5,FALSE)</f>
        <v>4186.7</v>
      </c>
      <c r="G10" s="212">
        <f>VLOOKUP($B10,Taul1!$A$12:$F$391,6,FALSE)</f>
        <v>4528.12</v>
      </c>
    </row>
    <row r="11" spans="1:7" x14ac:dyDescent="0.25">
      <c r="A11" s="204" t="s">
        <v>183</v>
      </c>
      <c r="B11" s="204">
        <v>40301301</v>
      </c>
      <c r="C11" s="204" t="s">
        <v>366</v>
      </c>
      <c r="D11" s="212">
        <f>VLOOKUP($B11,Taul1!$A$12:$F$391,3,FALSE)</f>
        <v>4394.8500000000004</v>
      </c>
      <c r="E11" s="212">
        <f>VLOOKUP($B11,Taul1!$A$12:$F$391,4,FALSE)</f>
        <v>4770.6400000000003</v>
      </c>
      <c r="F11" s="212">
        <f>VLOOKUP($B11,Taul1!$A$12:$F$391,5,FALSE)</f>
        <v>4352.76</v>
      </c>
      <c r="G11" s="212">
        <f>VLOOKUP($B11,Taul1!$A$12:$F$391,6,FALSE)</f>
        <v>4725.04</v>
      </c>
    </row>
    <row r="12" spans="1:7" x14ac:dyDescent="0.25">
      <c r="A12" s="204" t="s">
        <v>183</v>
      </c>
      <c r="B12" s="204">
        <v>40301401</v>
      </c>
      <c r="C12" s="204" t="s">
        <v>367</v>
      </c>
      <c r="D12" s="212">
        <f>VLOOKUP($B12,Taul1!$A$12:$F$391,3,FALSE)</f>
        <v>4581.6400000000003</v>
      </c>
      <c r="E12" s="212">
        <f>VLOOKUP($B12,Taul1!$A$12:$F$391,4,FALSE)</f>
        <v>0</v>
      </c>
      <c r="F12" s="212">
        <f>VLOOKUP($B12,Taul1!$A$12:$F$391,5,FALSE)</f>
        <v>4537.7700000000004</v>
      </c>
      <c r="G12" s="212">
        <f>VLOOKUP($B12,Taul1!$A$12:$F$391,6,FALSE)</f>
        <v>0</v>
      </c>
    </row>
    <row r="13" spans="1:7" x14ac:dyDescent="0.25">
      <c r="A13" s="204" t="s">
        <v>183</v>
      </c>
      <c r="B13" s="204">
        <v>40301102</v>
      </c>
      <c r="C13" s="204" t="s">
        <v>368</v>
      </c>
      <c r="D13" s="212">
        <f>VLOOKUP($B13,Taul1!$A$12:$F$391,3,FALSE)</f>
        <v>4227.1499999999996</v>
      </c>
      <c r="E13" s="212">
        <f>VLOOKUP($B13,Taul1!$A$12:$F$391,4,FALSE)</f>
        <v>4571.8599999999997</v>
      </c>
      <c r="F13" s="212">
        <f>VLOOKUP($B13,Taul1!$A$12:$F$391,5,FALSE)</f>
        <v>4186.7</v>
      </c>
      <c r="G13" s="212">
        <f>VLOOKUP($B13,Taul1!$A$12:$F$391,6,FALSE)</f>
        <v>4528.12</v>
      </c>
    </row>
    <row r="14" spans="1:7" x14ac:dyDescent="0.25">
      <c r="A14" s="204" t="s">
        <v>183</v>
      </c>
      <c r="B14" s="204">
        <v>40301202</v>
      </c>
      <c r="C14" s="204" t="s">
        <v>369</v>
      </c>
      <c r="D14" s="212">
        <f>VLOOKUP($B14,Taul1!$A$12:$F$391,3,FALSE)</f>
        <v>4571.8599999999997</v>
      </c>
      <c r="E14" s="212">
        <f>VLOOKUP($B14,Taul1!$A$12:$F$391,4,FALSE)</f>
        <v>4973.57</v>
      </c>
      <c r="F14" s="212">
        <f>VLOOKUP($B14,Taul1!$A$12:$F$391,5,FALSE)</f>
        <v>4528.12</v>
      </c>
      <c r="G14" s="212">
        <f>VLOOKUP($B14,Taul1!$A$12:$F$391,6,FALSE)</f>
        <v>4925.96</v>
      </c>
    </row>
    <row r="15" spans="1:7" x14ac:dyDescent="0.25">
      <c r="A15" s="204" t="s">
        <v>183</v>
      </c>
      <c r="B15" s="204">
        <v>40301302</v>
      </c>
      <c r="C15" s="204" t="s">
        <v>370</v>
      </c>
      <c r="D15" s="212">
        <f>VLOOKUP($B15,Taul1!$A$12:$F$391,3,FALSE)</f>
        <v>4770.6400000000003</v>
      </c>
      <c r="E15" s="212">
        <f>VLOOKUP($B15,Taul1!$A$12:$F$391,4,FALSE)</f>
        <v>5180.1899999999996</v>
      </c>
      <c r="F15" s="212">
        <f>VLOOKUP($B15,Taul1!$A$12:$F$391,5,FALSE)</f>
        <v>4725.04</v>
      </c>
      <c r="G15" s="212">
        <f>VLOOKUP($B15,Taul1!$A$12:$F$391,6,FALSE)</f>
        <v>5130.63</v>
      </c>
    </row>
    <row r="16" spans="1:7" x14ac:dyDescent="0.25">
      <c r="A16" s="204" t="s">
        <v>183</v>
      </c>
      <c r="B16" s="204">
        <v>40301402</v>
      </c>
      <c r="C16" s="204" t="s">
        <v>371</v>
      </c>
      <c r="D16" s="212">
        <f>VLOOKUP($B16,Taul1!$A$12:$F$391,3,FALSE)</f>
        <v>4973.57</v>
      </c>
      <c r="E16" s="212">
        <f>VLOOKUP($B16,Taul1!$A$12:$F$391,4,FALSE)</f>
        <v>0</v>
      </c>
      <c r="F16" s="212">
        <f>VLOOKUP($B16,Taul1!$A$12:$F$391,5,FALSE)</f>
        <v>4925.96</v>
      </c>
      <c r="G16" s="212">
        <f>VLOOKUP($B16,Taul1!$A$12:$F$391,6,FALSE)</f>
        <v>0</v>
      </c>
    </row>
    <row r="17" spans="1:7" x14ac:dyDescent="0.25">
      <c r="A17" s="204" t="s">
        <v>183</v>
      </c>
      <c r="B17" s="204">
        <v>40301502</v>
      </c>
      <c r="C17" s="204" t="s">
        <v>372</v>
      </c>
      <c r="D17" s="212">
        <f>VLOOKUP($B17,Taul1!$A$12:$F$391,3,FALSE)</f>
        <v>5184.97</v>
      </c>
      <c r="E17" s="212">
        <f>VLOOKUP($B17,Taul1!$A$12:$F$391,4,FALSE)</f>
        <v>0</v>
      </c>
      <c r="F17" s="212">
        <f>VLOOKUP($B17,Taul1!$A$12:$F$391,5,FALSE)</f>
        <v>5135.34</v>
      </c>
      <c r="G17" s="212">
        <f>VLOOKUP($B17,Taul1!$A$12:$F$391,6,FALSE)</f>
        <v>0</v>
      </c>
    </row>
    <row r="18" spans="1:7" x14ac:dyDescent="0.25">
      <c r="A18" s="204" t="s">
        <v>183</v>
      </c>
      <c r="B18" s="204">
        <v>40301602</v>
      </c>
      <c r="C18" s="204" t="s">
        <v>470</v>
      </c>
      <c r="D18" s="212">
        <f>VLOOKUP($B18,Taul1!$A$12:$F$391,3,FALSE)</f>
        <v>5434.68</v>
      </c>
      <c r="E18" s="212">
        <f>VLOOKUP($B18,Taul1!$A$12:$F$391,4,FALSE)</f>
        <v>0</v>
      </c>
      <c r="F18" s="212">
        <f>VLOOKUP($B18,Taul1!$A$12:$F$391,5,FALSE)</f>
        <v>5382.66</v>
      </c>
      <c r="G18" s="212">
        <f>VLOOKUP($B18,Taul1!$A$12:$F$391,6,FALSE)</f>
        <v>0</v>
      </c>
    </row>
    <row r="19" spans="1:7" x14ac:dyDescent="0.25">
      <c r="A19" s="204" t="s">
        <v>183</v>
      </c>
      <c r="B19" s="204">
        <v>40301103</v>
      </c>
      <c r="C19" s="204" t="s">
        <v>373</v>
      </c>
      <c r="D19" s="212">
        <f>VLOOKUP($B19,Taul1!$A$12:$F$391,3,FALSE)</f>
        <v>4227.1499999999996</v>
      </c>
      <c r="E19" s="212">
        <f>VLOOKUP($B19,Taul1!$A$12:$F$391,4,FALSE)</f>
        <v>4571.8599999999997</v>
      </c>
      <c r="F19" s="212">
        <f>VLOOKUP($B19,Taul1!$A$12:$F$391,5,FALSE)</f>
        <v>4186.7</v>
      </c>
      <c r="G19" s="212">
        <f>VLOOKUP($B19,Taul1!$A$12:$F$391,6,FALSE)</f>
        <v>4528.12</v>
      </c>
    </row>
    <row r="20" spans="1:7" x14ac:dyDescent="0.25">
      <c r="A20" s="204" t="s">
        <v>183</v>
      </c>
      <c r="B20" s="204">
        <v>40301203</v>
      </c>
      <c r="C20" s="204" t="s">
        <v>374</v>
      </c>
      <c r="D20" s="212">
        <f>VLOOKUP($B20,Taul1!$A$12:$F$391,3,FALSE)</f>
        <v>4394.8500000000004</v>
      </c>
      <c r="E20" s="212">
        <f>VLOOKUP($B20,Taul1!$A$12:$F$391,4,FALSE)</f>
        <v>4770.6400000000003</v>
      </c>
      <c r="F20" s="212">
        <f>VLOOKUP($B20,Taul1!$A$12:$F$391,5,FALSE)</f>
        <v>4352.76</v>
      </c>
      <c r="G20" s="212">
        <f>VLOOKUP($B20,Taul1!$A$12:$F$391,6,FALSE)</f>
        <v>4725.04</v>
      </c>
    </row>
    <row r="21" spans="1:7" x14ac:dyDescent="0.25">
      <c r="A21" s="204" t="s">
        <v>183</v>
      </c>
      <c r="B21" s="204">
        <v>40301303</v>
      </c>
      <c r="C21" s="204" t="s">
        <v>375</v>
      </c>
      <c r="D21" s="212">
        <f>VLOOKUP($B21,Taul1!$A$12:$F$391,3,FALSE)</f>
        <v>4770.6400000000003</v>
      </c>
      <c r="E21" s="212">
        <f>VLOOKUP($B21,Taul1!$A$12:$F$391,4,FALSE)</f>
        <v>5180.1899999999996</v>
      </c>
      <c r="F21" s="212">
        <f>VLOOKUP($B21,Taul1!$A$12:$F$391,5,FALSE)</f>
        <v>4725.04</v>
      </c>
      <c r="G21" s="212">
        <f>VLOOKUP($B21,Taul1!$A$12:$F$391,6,FALSE)</f>
        <v>5130.63</v>
      </c>
    </row>
    <row r="22" spans="1:7" x14ac:dyDescent="0.25">
      <c r="A22" s="204" t="s">
        <v>183</v>
      </c>
      <c r="B22" s="204">
        <v>40301403</v>
      </c>
      <c r="C22" s="204" t="s">
        <v>376</v>
      </c>
      <c r="D22" s="212">
        <f>VLOOKUP($B22,Taul1!$A$12:$F$391,3,FALSE)</f>
        <v>4973.57</v>
      </c>
      <c r="E22" s="212">
        <f>VLOOKUP($B22,Taul1!$A$12:$F$391,4,FALSE)</f>
        <v>5419.25</v>
      </c>
      <c r="F22" s="212">
        <f>VLOOKUP($B22,Taul1!$A$12:$F$391,5,FALSE)</f>
        <v>4925.96</v>
      </c>
      <c r="G22" s="212">
        <f>VLOOKUP($B22,Taul1!$A$12:$F$391,6,FALSE)</f>
        <v>5367.4</v>
      </c>
    </row>
    <row r="23" spans="1:7" x14ac:dyDescent="0.25">
      <c r="A23" s="204" t="s">
        <v>183</v>
      </c>
      <c r="B23" s="204">
        <v>40302000</v>
      </c>
      <c r="C23" s="204" t="s">
        <v>224</v>
      </c>
      <c r="D23" s="212">
        <f>VLOOKUP($B23,Taul1!$A$12:$F$391,3,FALSE)</f>
        <v>0</v>
      </c>
      <c r="E23" s="212">
        <f>VLOOKUP($B23,Taul1!$A$12:$F$391,4,FALSE)</f>
        <v>0</v>
      </c>
      <c r="F23" s="212">
        <f>VLOOKUP($B23,Taul1!$A$12:$F$391,5,FALSE)</f>
        <v>0</v>
      </c>
      <c r="G23" s="212">
        <f>VLOOKUP($B23,Taul1!$A$12:$F$391,6,FALSE)</f>
        <v>0</v>
      </c>
    </row>
    <row r="24" spans="1:7" x14ac:dyDescent="0.25">
      <c r="A24" s="204" t="s">
        <v>183</v>
      </c>
      <c r="B24" s="204">
        <v>40402000</v>
      </c>
      <c r="C24" s="204" t="s">
        <v>225</v>
      </c>
      <c r="D24" s="212">
        <f>VLOOKUP($B24,Taul1!$A$12:$F$391,3,FALSE)</f>
        <v>0</v>
      </c>
      <c r="E24" s="212">
        <f>VLOOKUP($B24,Taul1!$A$12:$F$391,4,FALSE)</f>
        <v>0</v>
      </c>
      <c r="F24" s="212">
        <f>VLOOKUP($B24,Taul1!$A$12:$F$391,5,FALSE)</f>
        <v>0</v>
      </c>
      <c r="G24" s="212">
        <f>VLOOKUP($B24,Taul1!$A$12:$F$391,6,FALSE)</f>
        <v>0</v>
      </c>
    </row>
    <row r="25" spans="1:7" x14ac:dyDescent="0.25">
      <c r="A25" s="204" t="s">
        <v>183</v>
      </c>
      <c r="B25" s="204">
        <v>40401005</v>
      </c>
      <c r="C25" s="204" t="s">
        <v>226</v>
      </c>
      <c r="D25" s="212">
        <f>VLOOKUP($B25,Taul1!$A$12:$F$391,3,FALSE)</f>
        <v>4835.6899999999996</v>
      </c>
      <c r="E25" s="212">
        <f>VLOOKUP($B25,Taul1!$A$12:$F$391,4,FALSE)</f>
        <v>6031.14</v>
      </c>
      <c r="F25" s="212">
        <f>VLOOKUP($B25,Taul1!$A$12:$F$391,5,FALSE)</f>
        <v>4789.43</v>
      </c>
      <c r="G25" s="212">
        <f>VLOOKUP($B25,Taul1!$A$12:$F$391,6,FALSE)</f>
        <v>5973.43</v>
      </c>
    </row>
    <row r="26" spans="1:7" x14ac:dyDescent="0.25">
      <c r="A26" s="204" t="s">
        <v>183</v>
      </c>
      <c r="B26" s="204">
        <v>40401011</v>
      </c>
      <c r="C26" s="204" t="s">
        <v>227</v>
      </c>
      <c r="D26" s="212">
        <f>VLOOKUP($B26,Taul1!$A$12:$F$391,3,FALSE)</f>
        <v>4835.6899999999996</v>
      </c>
      <c r="E26" s="212">
        <f>VLOOKUP($B26,Taul1!$A$12:$F$391,4,FALSE)</f>
        <v>6031.14</v>
      </c>
      <c r="F26" s="212">
        <f>VLOOKUP($B26,Taul1!$A$12:$F$391,5,FALSE)</f>
        <v>4789.43</v>
      </c>
      <c r="G26" s="212">
        <f>VLOOKUP($B26,Taul1!$A$12:$F$391,6,FALSE)</f>
        <v>5973.43</v>
      </c>
    </row>
    <row r="27" spans="1:7" x14ac:dyDescent="0.25">
      <c r="A27" s="204" t="s">
        <v>183</v>
      </c>
      <c r="B27" s="204">
        <v>40304066</v>
      </c>
      <c r="C27" s="204" t="s">
        <v>228</v>
      </c>
      <c r="D27" s="212">
        <f>VLOOKUP($B27,Taul1!$A$12:$F$391,3,FALSE)</f>
        <v>3332.69</v>
      </c>
      <c r="E27" s="212">
        <f>VLOOKUP($B27,Taul1!$A$12:$F$391,4,FALSE)</f>
        <v>0</v>
      </c>
      <c r="F27" s="212">
        <f>VLOOKUP($B27,Taul1!$A$12:$F$391,5,FALSE)</f>
        <v>3300.95</v>
      </c>
      <c r="G27" s="212">
        <f>VLOOKUP($B27,Taul1!$A$12:$F$391,6,FALSE)</f>
        <v>0</v>
      </c>
    </row>
    <row r="28" spans="1:7" x14ac:dyDescent="0.25">
      <c r="A28" s="204" t="s">
        <v>183</v>
      </c>
      <c r="B28" s="204">
        <v>40304067</v>
      </c>
      <c r="C28" s="204" t="s">
        <v>377</v>
      </c>
      <c r="D28" s="212">
        <f>VLOOKUP($B28,Taul1!$A$12:$F$391,3,FALSE)</f>
        <v>0</v>
      </c>
      <c r="E28" s="212">
        <f>VLOOKUP($B28,Taul1!$A$12:$F$391,4,FALSE)</f>
        <v>0</v>
      </c>
      <c r="F28" s="212">
        <f>VLOOKUP($B28,Taul1!$A$12:$F$391,5,FALSE)</f>
        <v>0</v>
      </c>
      <c r="G28" s="212">
        <f>VLOOKUP($B28,Taul1!$A$12:$F$391,6,FALSE)</f>
        <v>0</v>
      </c>
    </row>
    <row r="29" spans="1:7" x14ac:dyDescent="0.25">
      <c r="A29" s="204" t="s">
        <v>183</v>
      </c>
      <c r="B29" s="204">
        <v>40404066</v>
      </c>
      <c r="C29" s="204" t="s">
        <v>347</v>
      </c>
      <c r="D29" s="212">
        <f>VLOOKUP($B29,Taul1!$A$12:$F$391,3,FALSE)</f>
        <v>4175.8599999999997</v>
      </c>
      <c r="E29" s="212">
        <f>VLOOKUP($B29,Taul1!$A$12:$F$391,4,FALSE)</f>
        <v>0</v>
      </c>
      <c r="F29" s="212">
        <f>VLOOKUP($B29,Taul1!$A$12:$F$391,5,FALSE)</f>
        <v>4141.1499999999996</v>
      </c>
      <c r="G29" s="212">
        <f>VLOOKUP($B29,Taul1!$A$12:$F$391,6,FALSE)</f>
        <v>0</v>
      </c>
    </row>
    <row r="30" spans="1:7" x14ac:dyDescent="0.25">
      <c r="A30" s="204" t="s">
        <v>183</v>
      </c>
      <c r="B30" s="204">
        <v>40404067</v>
      </c>
      <c r="C30" s="204" t="s">
        <v>348</v>
      </c>
      <c r="D30" s="212">
        <f>VLOOKUP($B30,Taul1!$A$12:$F$391,3,FALSE)</f>
        <v>0</v>
      </c>
      <c r="E30" s="212">
        <f>VLOOKUP($B30,Taul1!$A$12:$F$391,4,FALSE)</f>
        <v>0</v>
      </c>
      <c r="F30" s="212">
        <f>VLOOKUP($B30,Taul1!$A$12:$F$391,5,FALSE)</f>
        <v>0</v>
      </c>
      <c r="G30" s="212">
        <f>VLOOKUP($B30,Taul1!$A$12:$F$391,6,FALSE)</f>
        <v>0</v>
      </c>
    </row>
    <row r="31" spans="1:7" x14ac:dyDescent="0.25">
      <c r="A31" s="204" t="s">
        <v>183</v>
      </c>
      <c r="B31" s="204">
        <v>40407066</v>
      </c>
      <c r="C31" s="204" t="s">
        <v>471</v>
      </c>
      <c r="D31" s="212">
        <f>VLOOKUP($B31,Taul1!$A$12:$F$391,3,FALSE)</f>
        <v>4175.8599999999997</v>
      </c>
      <c r="E31" s="212">
        <f>VLOOKUP($B31,Taul1!$A$12:$F$391,4,FALSE)</f>
        <v>0</v>
      </c>
      <c r="F31" s="212">
        <f>VLOOKUP($B31,Taul1!$A$12:$F$391,5,FALSE)</f>
        <v>4141.1499999999996</v>
      </c>
      <c r="G31" s="212">
        <f>VLOOKUP($B31,Taul1!$A$12:$F$391,6,FALSE)</f>
        <v>0</v>
      </c>
    </row>
    <row r="32" spans="1:7" x14ac:dyDescent="0.25">
      <c r="A32" s="204" t="s">
        <v>183</v>
      </c>
      <c r="B32" s="204">
        <v>40407067</v>
      </c>
      <c r="C32" s="204" t="s">
        <v>472</v>
      </c>
      <c r="D32" s="212">
        <f>VLOOKUP($B32,Taul1!$A$12:$F$391,3,FALSE)</f>
        <v>0</v>
      </c>
      <c r="E32" s="212">
        <f>VLOOKUP($B32,Taul1!$A$12:$F$391,4,FALSE)</f>
        <v>0</v>
      </c>
      <c r="F32" s="212">
        <f>VLOOKUP($B32,Taul1!$A$12:$F$391,5,FALSE)</f>
        <v>0</v>
      </c>
      <c r="G32" s="212">
        <f>VLOOKUP($B32,Taul1!$A$12:$F$391,6,FALSE)</f>
        <v>0</v>
      </c>
    </row>
    <row r="33" spans="1:7" x14ac:dyDescent="0.25">
      <c r="A33" s="204" t="s">
        <v>183</v>
      </c>
      <c r="B33" s="204">
        <v>40404076</v>
      </c>
      <c r="C33" s="204" t="s">
        <v>455</v>
      </c>
      <c r="D33" s="212">
        <f>VLOOKUP($B33,Taul1!$A$12:$F$391,3,FALSE)</f>
        <v>4175.8599999999997</v>
      </c>
      <c r="E33" s="212">
        <f>VLOOKUP($B33,Taul1!$A$12:$F$391,4,FALSE)</f>
        <v>0</v>
      </c>
      <c r="F33" s="212">
        <f>VLOOKUP($B33,Taul1!$A$12:$F$391,5,FALSE)</f>
        <v>4141.1499999999996</v>
      </c>
      <c r="G33" s="212">
        <f>VLOOKUP($B33,Taul1!$A$12:$F$391,6,FALSE)</f>
        <v>0</v>
      </c>
    </row>
    <row r="34" spans="1:7" x14ac:dyDescent="0.25">
      <c r="A34" s="204" t="s">
        <v>183</v>
      </c>
      <c r="B34" s="204">
        <v>40404077</v>
      </c>
      <c r="C34" s="204" t="s">
        <v>456</v>
      </c>
      <c r="D34" s="212">
        <f>VLOOKUP($B34,Taul1!$A$12:$F$391,3,FALSE)</f>
        <v>0</v>
      </c>
      <c r="E34" s="212">
        <f>VLOOKUP($B34,Taul1!$A$12:$F$391,4,FALSE)</f>
        <v>0</v>
      </c>
      <c r="F34" s="212">
        <f>VLOOKUP($B34,Taul1!$A$12:$F$391,5,FALSE)</f>
        <v>0</v>
      </c>
      <c r="G34" s="212">
        <f>VLOOKUP($B34,Taul1!$A$12:$F$391,6,FALSE)</f>
        <v>0</v>
      </c>
    </row>
    <row r="35" spans="1:7" x14ac:dyDescent="0.25">
      <c r="A35" s="204" t="s">
        <v>183</v>
      </c>
      <c r="B35" s="204">
        <v>40407076</v>
      </c>
      <c r="C35" s="204" t="s">
        <v>473</v>
      </c>
      <c r="D35" s="212">
        <f>VLOOKUP($B35,Taul1!$A$12:$F$391,3,FALSE)</f>
        <v>4175.8599999999997</v>
      </c>
      <c r="E35" s="212">
        <f>VLOOKUP($B35,Taul1!$A$12:$F$391,4,FALSE)</f>
        <v>0</v>
      </c>
      <c r="F35" s="212">
        <f>VLOOKUP($B35,Taul1!$A$12:$F$391,5,FALSE)</f>
        <v>4141.1499999999996</v>
      </c>
      <c r="G35" s="212">
        <f>VLOOKUP($B35,Taul1!$A$12:$F$391,6,FALSE)</f>
        <v>0</v>
      </c>
    </row>
    <row r="36" spans="1:7" x14ac:dyDescent="0.25">
      <c r="A36" s="204" t="s">
        <v>183</v>
      </c>
      <c r="B36" s="204">
        <v>40407077</v>
      </c>
      <c r="C36" s="204" t="s">
        <v>474</v>
      </c>
      <c r="D36" s="212">
        <f>VLOOKUP($B36,Taul1!$A$12:$F$391,3,FALSE)</f>
        <v>0</v>
      </c>
      <c r="E36" s="212">
        <f>VLOOKUP($B36,Taul1!$A$12:$F$391,4,FALSE)</f>
        <v>0</v>
      </c>
      <c r="F36" s="212">
        <f>VLOOKUP($B36,Taul1!$A$12:$F$391,5,FALSE)</f>
        <v>0</v>
      </c>
      <c r="G36" s="212">
        <f>VLOOKUP($B36,Taul1!$A$12:$F$391,6,FALSE)</f>
        <v>0</v>
      </c>
    </row>
    <row r="37" spans="1:7" x14ac:dyDescent="0.25">
      <c r="A37" s="204" t="s">
        <v>184</v>
      </c>
      <c r="B37" s="204">
        <v>40304005</v>
      </c>
      <c r="C37" s="204" t="s">
        <v>378</v>
      </c>
      <c r="D37" s="212">
        <f>VLOOKUP($B37,Taul1!$A$12:$F$391,3,FALSE)</f>
        <v>3172.35</v>
      </c>
      <c r="E37" s="212">
        <f>VLOOKUP($B37,Taul1!$A$12:$F$391,4,FALSE)</f>
        <v>0</v>
      </c>
      <c r="F37" s="212">
        <f>VLOOKUP($B37,Taul1!$A$12:$F$391,5,FALSE)</f>
        <v>3142.35</v>
      </c>
      <c r="G37" s="212">
        <f>VLOOKUP($B37,Taul1!$A$12:$F$391,6,FALSE)</f>
        <v>0</v>
      </c>
    </row>
    <row r="38" spans="1:7" x14ac:dyDescent="0.25">
      <c r="A38" s="204" t="s">
        <v>184</v>
      </c>
      <c r="B38" s="204">
        <v>40304007</v>
      </c>
      <c r="C38" s="204" t="s">
        <v>379</v>
      </c>
      <c r="D38" s="212">
        <f>VLOOKUP($B38,Taul1!$A$12:$F$391,3,FALSE)</f>
        <v>2957.5</v>
      </c>
      <c r="E38" s="212">
        <f>VLOOKUP($B38,Taul1!$A$12:$F$391,4,FALSE)</f>
        <v>0</v>
      </c>
      <c r="F38" s="212">
        <f>VLOOKUP($B38,Taul1!$A$12:$F$391,5,FALSE)</f>
        <v>2929.54</v>
      </c>
      <c r="G38" s="212">
        <f>VLOOKUP($B38,Taul1!$A$12:$F$391,6,FALSE)</f>
        <v>0</v>
      </c>
    </row>
    <row r="39" spans="1:7" x14ac:dyDescent="0.25">
      <c r="A39" s="204" t="s">
        <v>184</v>
      </c>
      <c r="B39" s="204">
        <v>40304008</v>
      </c>
      <c r="C39" s="204" t="s">
        <v>380</v>
      </c>
      <c r="D39" s="212">
        <f>VLOOKUP($B39,Taul1!$A$12:$F$391,3,FALSE)</f>
        <v>2592.35</v>
      </c>
      <c r="E39" s="212">
        <f>VLOOKUP($B39,Taul1!$A$12:$F$391,4,FALSE)</f>
        <v>0</v>
      </c>
      <c r="F39" s="212">
        <f>VLOOKUP($B39,Taul1!$A$12:$F$391,5,FALSE)</f>
        <v>2567.83</v>
      </c>
      <c r="G39" s="212">
        <f>VLOOKUP($B39,Taul1!$A$12:$F$391,6,FALSE)</f>
        <v>0</v>
      </c>
    </row>
    <row r="40" spans="1:7" x14ac:dyDescent="0.25">
      <c r="A40" s="204" t="s">
        <v>184</v>
      </c>
      <c r="B40" s="204">
        <v>40304009</v>
      </c>
      <c r="C40" s="204" t="s">
        <v>381</v>
      </c>
      <c r="D40" s="212">
        <f>VLOOKUP($B40,Taul1!$A$12:$F$391,3,FALSE)</f>
        <v>2481.37</v>
      </c>
      <c r="E40" s="212">
        <f>VLOOKUP($B40,Taul1!$A$12:$F$391,4,FALSE)</f>
        <v>0</v>
      </c>
      <c r="F40" s="212">
        <f>VLOOKUP($B40,Taul1!$A$12:$F$391,5,FALSE)</f>
        <v>2457.9</v>
      </c>
      <c r="G40" s="212">
        <f>VLOOKUP($B40,Taul1!$A$12:$F$391,6,FALSE)</f>
        <v>0</v>
      </c>
    </row>
    <row r="41" spans="1:7" x14ac:dyDescent="0.25">
      <c r="A41" s="204" t="s">
        <v>184</v>
      </c>
      <c r="B41" s="204">
        <v>40304010</v>
      </c>
      <c r="C41" s="204" t="s">
        <v>382</v>
      </c>
      <c r="D41" s="212">
        <f>VLOOKUP($B41,Taul1!$A$12:$F$391,3,FALSE)</f>
        <v>2347.37</v>
      </c>
      <c r="E41" s="212">
        <f>VLOOKUP($B41,Taul1!$A$12:$F$391,4,FALSE)</f>
        <v>0</v>
      </c>
      <c r="F41" s="212">
        <f>VLOOKUP($B41,Taul1!$A$12:$F$391,5,FALSE)</f>
        <v>2325.64</v>
      </c>
      <c r="G41" s="212">
        <f>VLOOKUP($B41,Taul1!$A$12:$F$391,6,FALSE)</f>
        <v>0</v>
      </c>
    </row>
    <row r="42" spans="1:7" x14ac:dyDescent="0.25">
      <c r="A42" s="204" t="s">
        <v>184</v>
      </c>
      <c r="B42" s="204">
        <v>40304012</v>
      </c>
      <c r="C42" s="204" t="s">
        <v>383</v>
      </c>
      <c r="D42" s="212">
        <f>VLOOKUP($B42,Taul1!$A$12:$F$391,3,FALSE)</f>
        <v>3194.39</v>
      </c>
      <c r="E42" s="212">
        <f>VLOOKUP($B42,Taul1!$A$12:$F$391,4,FALSE)</f>
        <v>0</v>
      </c>
      <c r="F42" s="212">
        <f>VLOOKUP($B42,Taul1!$A$12:$F$391,5,FALSE)</f>
        <v>3164.17</v>
      </c>
      <c r="G42" s="212">
        <f>VLOOKUP($B42,Taul1!$A$12:$F$391,6,FALSE)</f>
        <v>0</v>
      </c>
    </row>
    <row r="43" spans="1:7" x14ac:dyDescent="0.25">
      <c r="A43" s="204" t="s">
        <v>184</v>
      </c>
      <c r="B43" s="204">
        <v>40304014</v>
      </c>
      <c r="C43" s="204" t="s">
        <v>384</v>
      </c>
      <c r="D43" s="212">
        <f>VLOOKUP($B43,Taul1!$A$12:$F$391,3,FALSE)</f>
        <v>3082.7</v>
      </c>
      <c r="E43" s="212">
        <f>VLOOKUP($B43,Taul1!$A$12:$F$391,4,FALSE)</f>
        <v>0</v>
      </c>
      <c r="F43" s="212">
        <f>VLOOKUP($B43,Taul1!$A$12:$F$391,5,FALSE)</f>
        <v>3053.53</v>
      </c>
      <c r="G43" s="212">
        <f>VLOOKUP($B43,Taul1!$A$12:$F$391,6,FALSE)</f>
        <v>0</v>
      </c>
    </row>
    <row r="44" spans="1:7" x14ac:dyDescent="0.25">
      <c r="A44" s="204" t="s">
        <v>184</v>
      </c>
      <c r="B44" s="204">
        <v>40304013</v>
      </c>
      <c r="C44" s="204" t="s">
        <v>385</v>
      </c>
      <c r="D44" s="212">
        <f>VLOOKUP($B44,Taul1!$A$12:$F$391,3,FALSE)</f>
        <v>2983.87</v>
      </c>
      <c r="E44" s="212">
        <f>VLOOKUP($B44,Taul1!$A$12:$F$391,4,FALSE)</f>
        <v>0</v>
      </c>
      <c r="F44" s="212">
        <f>VLOOKUP($B44,Taul1!$A$12:$F$391,5,FALSE)</f>
        <v>2955.62</v>
      </c>
      <c r="G44" s="212">
        <f>VLOOKUP($B44,Taul1!$A$12:$F$391,6,FALSE)</f>
        <v>0</v>
      </c>
    </row>
    <row r="45" spans="1:7" x14ac:dyDescent="0.25">
      <c r="A45" s="204" t="s">
        <v>184</v>
      </c>
      <c r="B45" s="204">
        <v>40304015</v>
      </c>
      <c r="C45" s="204" t="s">
        <v>386</v>
      </c>
      <c r="D45" s="212">
        <f>VLOOKUP($B45,Taul1!$A$12:$F$391,3,FALSE)</f>
        <v>2937.34</v>
      </c>
      <c r="E45" s="212">
        <f>VLOOKUP($B45,Taul1!$A$12:$F$391,4,FALSE)</f>
        <v>0</v>
      </c>
      <c r="F45" s="212">
        <f>VLOOKUP($B45,Taul1!$A$12:$F$391,5,FALSE)</f>
        <v>2909.58</v>
      </c>
      <c r="G45" s="212">
        <f>VLOOKUP($B45,Taul1!$A$12:$F$391,6,FALSE)</f>
        <v>0</v>
      </c>
    </row>
    <row r="46" spans="1:7" x14ac:dyDescent="0.25">
      <c r="A46" s="204" t="s">
        <v>184</v>
      </c>
      <c r="B46" s="204">
        <v>40304016</v>
      </c>
      <c r="C46" s="204" t="s">
        <v>387</v>
      </c>
      <c r="D46" s="212">
        <f>VLOOKUP($B46,Taul1!$A$12:$F$391,3,FALSE)</f>
        <v>2815.17</v>
      </c>
      <c r="E46" s="212">
        <f>VLOOKUP($B46,Taul1!$A$12:$F$391,4,FALSE)</f>
        <v>0</v>
      </c>
      <c r="F46" s="212">
        <f>VLOOKUP($B46,Taul1!$A$12:$F$391,5,FALSE)</f>
        <v>2788.6</v>
      </c>
      <c r="G46" s="212">
        <f>VLOOKUP($B46,Taul1!$A$12:$F$391,6,FALSE)</f>
        <v>0</v>
      </c>
    </row>
    <row r="47" spans="1:7" x14ac:dyDescent="0.25">
      <c r="A47" s="204" t="s">
        <v>184</v>
      </c>
      <c r="B47" s="204">
        <v>40304017</v>
      </c>
      <c r="C47" s="204" t="s">
        <v>388</v>
      </c>
      <c r="D47" s="212">
        <f>VLOOKUP($B47,Taul1!$A$12:$F$391,3,FALSE)</f>
        <v>2460.56</v>
      </c>
      <c r="E47" s="212">
        <f>VLOOKUP($B47,Taul1!$A$12:$F$391,4,FALSE)</f>
        <v>0</v>
      </c>
      <c r="F47" s="212">
        <f>VLOOKUP($B47,Taul1!$A$12:$F$391,5,FALSE)</f>
        <v>2437.5500000000002</v>
      </c>
      <c r="G47" s="212">
        <f>VLOOKUP($B47,Taul1!$A$12:$F$391,6,FALSE)</f>
        <v>0</v>
      </c>
    </row>
    <row r="48" spans="1:7" x14ac:dyDescent="0.25">
      <c r="A48" s="204" t="s">
        <v>184</v>
      </c>
      <c r="B48" s="204">
        <v>40304028</v>
      </c>
      <c r="C48" s="204" t="s">
        <v>389</v>
      </c>
      <c r="D48" s="212">
        <f>VLOOKUP($B48,Taul1!$A$12:$F$391,3,FALSE)</f>
        <v>3172.35</v>
      </c>
      <c r="E48" s="212">
        <f>VLOOKUP($B48,Taul1!$A$12:$F$391,4,FALSE)</f>
        <v>0</v>
      </c>
      <c r="F48" s="212">
        <f>VLOOKUP($B48,Taul1!$A$12:$F$391,5,FALSE)</f>
        <v>3142.35</v>
      </c>
      <c r="G48" s="212">
        <f>VLOOKUP($B48,Taul1!$A$12:$F$391,6,FALSE)</f>
        <v>0</v>
      </c>
    </row>
    <row r="49" spans="1:7" x14ac:dyDescent="0.25">
      <c r="A49" s="204" t="s">
        <v>184</v>
      </c>
      <c r="B49" s="204">
        <v>40304030</v>
      </c>
      <c r="C49" s="204" t="s">
        <v>390</v>
      </c>
      <c r="D49" s="212">
        <f>VLOOKUP($B49,Taul1!$A$12:$F$391,3,FALSE)</f>
        <v>2953.21</v>
      </c>
      <c r="E49" s="212">
        <f>VLOOKUP($B49,Taul1!$A$12:$F$391,4,FALSE)</f>
        <v>0</v>
      </c>
      <c r="F49" s="212">
        <f>VLOOKUP($B49,Taul1!$A$12:$F$391,5,FALSE)</f>
        <v>2925.3</v>
      </c>
      <c r="G49" s="212">
        <f>VLOOKUP($B49,Taul1!$A$12:$F$391,6,FALSE)</f>
        <v>0</v>
      </c>
    </row>
    <row r="50" spans="1:7" x14ac:dyDescent="0.25">
      <c r="A50" s="204" t="s">
        <v>184</v>
      </c>
      <c r="B50" s="204">
        <v>40304031</v>
      </c>
      <c r="C50" s="204" t="s">
        <v>391</v>
      </c>
      <c r="D50" s="212">
        <f>VLOOKUP($B50,Taul1!$A$12:$F$391,3,FALSE)</f>
        <v>2842.53</v>
      </c>
      <c r="E50" s="212">
        <f>VLOOKUP($B50,Taul1!$A$12:$F$391,4,FALSE)</f>
        <v>0</v>
      </c>
      <c r="F50" s="212">
        <f>VLOOKUP($B50,Taul1!$A$12:$F$391,5,FALSE)</f>
        <v>2815.63</v>
      </c>
      <c r="G50" s="212">
        <f>VLOOKUP($B50,Taul1!$A$12:$F$391,6,FALSE)</f>
        <v>0</v>
      </c>
    </row>
    <row r="51" spans="1:7" x14ac:dyDescent="0.25">
      <c r="A51" s="204" t="s">
        <v>184</v>
      </c>
      <c r="B51" s="204">
        <v>40304098</v>
      </c>
      <c r="C51" s="204" t="s">
        <v>492</v>
      </c>
      <c r="D51" s="212">
        <f>VLOOKUP($B51,Taul1!$A$12:$F$391,3,FALSE)</f>
        <v>2321.64</v>
      </c>
      <c r="E51" s="212">
        <f>VLOOKUP($B51,Taul1!$A$12:$F$391,4,FALSE)</f>
        <v>0</v>
      </c>
      <c r="F51" s="212">
        <f>VLOOKUP($B51,Taul1!$A$12:$F$391,5,FALSE)</f>
        <v>2300.3200000000002</v>
      </c>
      <c r="G51" s="212">
        <f>VLOOKUP($B51,Taul1!$A$12:$F$391,6,FALSE)</f>
        <v>0</v>
      </c>
    </row>
    <row r="52" spans="1:7" x14ac:dyDescent="0.25">
      <c r="A52" s="204" t="s">
        <v>184</v>
      </c>
      <c r="B52" s="204">
        <v>40304033</v>
      </c>
      <c r="C52" s="204" t="s">
        <v>392</v>
      </c>
      <c r="D52" s="212">
        <f>VLOOKUP($B52,Taul1!$A$12:$F$391,3,FALSE)</f>
        <v>2216.34</v>
      </c>
      <c r="E52" s="212">
        <f>VLOOKUP($B52,Taul1!$A$12:$F$391,4,FALSE)</f>
        <v>0</v>
      </c>
      <c r="F52" s="212">
        <f>VLOOKUP($B52,Taul1!$A$12:$F$391,5,FALSE)</f>
        <v>2196.85</v>
      </c>
      <c r="G52" s="212">
        <f>VLOOKUP($B52,Taul1!$A$12:$F$391,6,FALSE)</f>
        <v>0</v>
      </c>
    </row>
    <row r="53" spans="1:7" x14ac:dyDescent="0.25">
      <c r="A53" s="204" t="s">
        <v>184</v>
      </c>
      <c r="B53" s="204">
        <v>40304020</v>
      </c>
      <c r="C53" s="204" t="s">
        <v>393</v>
      </c>
      <c r="D53" s="212">
        <f>VLOOKUP($B53,Taul1!$A$12:$F$391,3,FALSE)</f>
        <v>2548.33</v>
      </c>
      <c r="E53" s="212">
        <f>VLOOKUP($B53,Taul1!$A$12:$F$391,4,FALSE)</f>
        <v>0</v>
      </c>
      <c r="F53" s="212">
        <f>VLOOKUP($B53,Taul1!$A$12:$F$391,5,FALSE)</f>
        <v>2524.21</v>
      </c>
      <c r="G53" s="212">
        <f>VLOOKUP($B53,Taul1!$A$12:$F$391,6,FALSE)</f>
        <v>0</v>
      </c>
    </row>
    <row r="54" spans="1:7" x14ac:dyDescent="0.25">
      <c r="A54" s="204" t="s">
        <v>184</v>
      </c>
      <c r="B54" s="204">
        <v>40304024</v>
      </c>
      <c r="C54" s="204" t="s">
        <v>493</v>
      </c>
      <c r="D54" s="212">
        <f>VLOOKUP($B54,Taul1!$A$12:$F$391,3,FALSE)</f>
        <v>2548.33</v>
      </c>
      <c r="E54" s="212">
        <f>VLOOKUP($B54,Taul1!$A$12:$F$391,4,FALSE)</f>
        <v>0</v>
      </c>
      <c r="F54" s="212">
        <f>VLOOKUP($B54,Taul1!$A$12:$F$391,5,FALSE)</f>
        <v>2524.21</v>
      </c>
      <c r="G54" s="212">
        <f>VLOOKUP($B54,Taul1!$A$12:$F$391,6,FALSE)</f>
        <v>0</v>
      </c>
    </row>
    <row r="55" spans="1:7" x14ac:dyDescent="0.25">
      <c r="A55" s="204" t="s">
        <v>184</v>
      </c>
      <c r="B55" s="204">
        <v>40304021</v>
      </c>
      <c r="C55" s="204" t="s">
        <v>394</v>
      </c>
      <c r="D55" s="212">
        <f>VLOOKUP($B55,Taul1!$A$12:$F$391,3,FALSE)</f>
        <v>2495.33</v>
      </c>
      <c r="E55" s="212">
        <f>VLOOKUP($B55,Taul1!$A$12:$F$391,4,FALSE)</f>
        <v>0</v>
      </c>
      <c r="F55" s="212">
        <f>VLOOKUP($B55,Taul1!$A$12:$F$391,5,FALSE)</f>
        <v>2471.6799999999998</v>
      </c>
      <c r="G55" s="212">
        <f>VLOOKUP($B55,Taul1!$A$12:$F$391,6,FALSE)</f>
        <v>0</v>
      </c>
    </row>
    <row r="56" spans="1:7" x14ac:dyDescent="0.25">
      <c r="A56" s="204" t="s">
        <v>184</v>
      </c>
      <c r="B56" s="204">
        <v>40304022</v>
      </c>
      <c r="C56" s="204" t="s">
        <v>185</v>
      </c>
      <c r="D56" s="212">
        <f>VLOOKUP($B56,Taul1!$A$12:$F$391,3,FALSE)</f>
        <v>2150.8000000000002</v>
      </c>
      <c r="E56" s="212">
        <f>VLOOKUP($B56,Taul1!$A$12:$F$391,4,FALSE)</f>
        <v>0</v>
      </c>
      <c r="F56" s="212">
        <f>VLOOKUP($B56,Taul1!$A$12:$F$391,5,FALSE)</f>
        <v>2133.16</v>
      </c>
      <c r="G56" s="212">
        <f>VLOOKUP($B56,Taul1!$A$12:$F$391,6,FALSE)</f>
        <v>0</v>
      </c>
    </row>
    <row r="57" spans="1:7" x14ac:dyDescent="0.25">
      <c r="A57" s="204" t="s">
        <v>184</v>
      </c>
      <c r="B57" s="204">
        <v>40307038</v>
      </c>
      <c r="C57" s="204" t="s">
        <v>395</v>
      </c>
      <c r="D57" s="212">
        <f>VLOOKUP($B57,Taul1!$A$12:$F$391,3,FALSE)</f>
        <v>3172.35</v>
      </c>
      <c r="E57" s="212">
        <f>VLOOKUP($B57,Taul1!$A$12:$F$391,4,FALSE)</f>
        <v>0</v>
      </c>
      <c r="F57" s="212">
        <f>VLOOKUP($B57,Taul1!$A$12:$F$391,5,FALSE)</f>
        <v>3142.35</v>
      </c>
      <c r="G57" s="212">
        <f>VLOOKUP($B57,Taul1!$A$12:$F$391,6,FALSE)</f>
        <v>0</v>
      </c>
    </row>
    <row r="58" spans="1:7" x14ac:dyDescent="0.25">
      <c r="A58" s="204" t="s">
        <v>184</v>
      </c>
      <c r="B58" s="204">
        <v>40307040</v>
      </c>
      <c r="C58" s="204" t="s">
        <v>396</v>
      </c>
      <c r="D58" s="212">
        <f>VLOOKUP($B58,Taul1!$A$12:$F$391,3,FALSE)</f>
        <v>2957.5</v>
      </c>
      <c r="E58" s="212">
        <f>VLOOKUP($B58,Taul1!$A$12:$F$391,4,FALSE)</f>
        <v>0</v>
      </c>
      <c r="F58" s="212">
        <f>VLOOKUP($B58,Taul1!$A$12:$F$391,5,FALSE)</f>
        <v>2929.54</v>
      </c>
      <c r="G58" s="212">
        <f>VLOOKUP($B58,Taul1!$A$12:$F$391,6,FALSE)</f>
        <v>0</v>
      </c>
    </row>
    <row r="59" spans="1:7" x14ac:dyDescent="0.25">
      <c r="A59" s="204" t="s">
        <v>184</v>
      </c>
      <c r="B59" s="204">
        <v>40307041</v>
      </c>
      <c r="C59" s="204" t="s">
        <v>397</v>
      </c>
      <c r="D59" s="212">
        <f>VLOOKUP($B59,Taul1!$A$12:$F$391,3,FALSE)</f>
        <v>2592.35</v>
      </c>
      <c r="E59" s="212">
        <f>VLOOKUP($B59,Taul1!$A$12:$F$391,4,FALSE)</f>
        <v>0</v>
      </c>
      <c r="F59" s="212">
        <f>VLOOKUP($B59,Taul1!$A$12:$F$391,5,FALSE)</f>
        <v>2567.83</v>
      </c>
      <c r="G59" s="212">
        <f>VLOOKUP($B59,Taul1!$A$12:$F$391,6,FALSE)</f>
        <v>0</v>
      </c>
    </row>
    <row r="60" spans="1:7" x14ac:dyDescent="0.25">
      <c r="A60" s="204" t="s">
        <v>184</v>
      </c>
      <c r="B60" s="204">
        <v>40307042</v>
      </c>
      <c r="C60" s="204" t="s">
        <v>398</v>
      </c>
      <c r="D60" s="212">
        <f>VLOOKUP($B60,Taul1!$A$12:$F$391,3,FALSE)</f>
        <v>2481.37</v>
      </c>
      <c r="E60" s="212">
        <f>VLOOKUP($B60,Taul1!$A$12:$F$391,4,FALSE)</f>
        <v>0</v>
      </c>
      <c r="F60" s="212">
        <f>VLOOKUP($B60,Taul1!$A$12:$F$391,5,FALSE)</f>
        <v>2457.9</v>
      </c>
      <c r="G60" s="212">
        <f>VLOOKUP($B60,Taul1!$A$12:$F$391,6,FALSE)</f>
        <v>0</v>
      </c>
    </row>
    <row r="61" spans="1:7" x14ac:dyDescent="0.25">
      <c r="A61" s="204" t="s">
        <v>184</v>
      </c>
      <c r="B61" s="204">
        <v>40307043</v>
      </c>
      <c r="C61" s="204" t="s">
        <v>399</v>
      </c>
      <c r="D61" s="212">
        <f>VLOOKUP($B61,Taul1!$A$12:$F$391,3,FALSE)</f>
        <v>2347.37</v>
      </c>
      <c r="E61" s="212">
        <f>VLOOKUP($B61,Taul1!$A$12:$F$391,4,FALSE)</f>
        <v>0</v>
      </c>
      <c r="F61" s="212">
        <f>VLOOKUP($B61,Taul1!$A$12:$F$391,5,FALSE)</f>
        <v>2325.64</v>
      </c>
      <c r="G61" s="212">
        <f>VLOOKUP($B61,Taul1!$A$12:$F$391,6,FALSE)</f>
        <v>0</v>
      </c>
    </row>
    <row r="62" spans="1:7" x14ac:dyDescent="0.25">
      <c r="A62" s="204" t="s">
        <v>184</v>
      </c>
      <c r="B62" s="204">
        <v>40307044</v>
      </c>
      <c r="C62" s="204" t="s">
        <v>400</v>
      </c>
      <c r="D62" s="212">
        <f>VLOOKUP($B62,Taul1!$A$12:$F$391,3,FALSE)</f>
        <v>3194.39</v>
      </c>
      <c r="E62" s="212">
        <f>VLOOKUP($B62,Taul1!$A$12:$F$391,4,FALSE)</f>
        <v>0</v>
      </c>
      <c r="F62" s="212">
        <f>VLOOKUP($B62,Taul1!$A$12:$F$391,5,FALSE)</f>
        <v>3164.17</v>
      </c>
      <c r="G62" s="212">
        <f>VLOOKUP($B62,Taul1!$A$12:$F$391,6,FALSE)</f>
        <v>0</v>
      </c>
    </row>
    <row r="63" spans="1:7" x14ac:dyDescent="0.25">
      <c r="A63" s="204" t="s">
        <v>184</v>
      </c>
      <c r="B63" s="204">
        <v>40307046</v>
      </c>
      <c r="C63" s="204" t="s">
        <v>401</v>
      </c>
      <c r="D63" s="212">
        <f>VLOOKUP($B63,Taul1!$A$12:$F$391,3,FALSE)</f>
        <v>3082.7</v>
      </c>
      <c r="E63" s="212">
        <f>VLOOKUP($B63,Taul1!$A$12:$F$391,4,FALSE)</f>
        <v>0</v>
      </c>
      <c r="F63" s="212">
        <f>VLOOKUP($B63,Taul1!$A$12:$F$391,5,FALSE)</f>
        <v>3053.53</v>
      </c>
      <c r="G63" s="212">
        <f>VLOOKUP($B63,Taul1!$A$12:$F$391,6,FALSE)</f>
        <v>0</v>
      </c>
    </row>
    <row r="64" spans="1:7" x14ac:dyDescent="0.25">
      <c r="A64" s="204" t="s">
        <v>184</v>
      </c>
      <c r="B64" s="204">
        <v>40307045</v>
      </c>
      <c r="C64" s="204" t="s">
        <v>402</v>
      </c>
      <c r="D64" s="212">
        <f>VLOOKUP($B64,Taul1!$A$12:$F$391,3,FALSE)</f>
        <v>2983.87</v>
      </c>
      <c r="E64" s="212">
        <f>VLOOKUP($B64,Taul1!$A$12:$F$391,4,FALSE)</f>
        <v>0</v>
      </c>
      <c r="F64" s="212">
        <f>VLOOKUP($B64,Taul1!$A$12:$F$391,5,FALSE)</f>
        <v>2955.62</v>
      </c>
      <c r="G64" s="212">
        <f>VLOOKUP($B64,Taul1!$A$12:$F$391,6,FALSE)</f>
        <v>0</v>
      </c>
    </row>
    <row r="65" spans="1:7" x14ac:dyDescent="0.25">
      <c r="A65" s="204" t="s">
        <v>184</v>
      </c>
      <c r="B65" s="204">
        <v>40307047</v>
      </c>
      <c r="C65" s="204" t="s">
        <v>403</v>
      </c>
      <c r="D65" s="212">
        <f>VLOOKUP($B65,Taul1!$A$12:$F$391,3,FALSE)</f>
        <v>2937.34</v>
      </c>
      <c r="E65" s="212">
        <f>VLOOKUP($B65,Taul1!$A$12:$F$391,4,FALSE)</f>
        <v>0</v>
      </c>
      <c r="F65" s="212">
        <f>VLOOKUP($B65,Taul1!$A$12:$F$391,5,FALSE)</f>
        <v>2909.58</v>
      </c>
      <c r="G65" s="212">
        <f>VLOOKUP($B65,Taul1!$A$12:$F$391,6,FALSE)</f>
        <v>0</v>
      </c>
    </row>
    <row r="66" spans="1:7" x14ac:dyDescent="0.25">
      <c r="A66" s="204" t="s">
        <v>184</v>
      </c>
      <c r="B66" s="204">
        <v>40307048</v>
      </c>
      <c r="C66" s="204" t="s">
        <v>404</v>
      </c>
      <c r="D66" s="212">
        <f>VLOOKUP($B66,Taul1!$A$12:$F$391,3,FALSE)</f>
        <v>2815.17</v>
      </c>
      <c r="E66" s="212">
        <f>VLOOKUP($B66,Taul1!$A$12:$F$391,4,FALSE)</f>
        <v>0</v>
      </c>
      <c r="F66" s="212">
        <f>VLOOKUP($B66,Taul1!$A$12:$F$391,5,FALSE)</f>
        <v>2788.6</v>
      </c>
      <c r="G66" s="212">
        <f>VLOOKUP($B66,Taul1!$A$12:$F$391,6,FALSE)</f>
        <v>0</v>
      </c>
    </row>
    <row r="67" spans="1:7" x14ac:dyDescent="0.25">
      <c r="A67" s="204" t="s">
        <v>184</v>
      </c>
      <c r="B67" s="204">
        <v>40307049</v>
      </c>
      <c r="C67" s="204" t="s">
        <v>405</v>
      </c>
      <c r="D67" s="212">
        <f>VLOOKUP($B67,Taul1!$A$12:$F$391,3,FALSE)</f>
        <v>2460.56</v>
      </c>
      <c r="E67" s="212">
        <f>VLOOKUP($B67,Taul1!$A$12:$F$391,4,FALSE)</f>
        <v>0</v>
      </c>
      <c r="F67" s="212">
        <f>VLOOKUP($B67,Taul1!$A$12:$F$391,5,FALSE)</f>
        <v>2437.5500000000002</v>
      </c>
      <c r="G67" s="212">
        <f>VLOOKUP($B67,Taul1!$A$12:$F$391,6,FALSE)</f>
        <v>0</v>
      </c>
    </row>
    <row r="68" spans="1:7" x14ac:dyDescent="0.25">
      <c r="A68" s="204" t="s">
        <v>184</v>
      </c>
      <c r="B68" s="204">
        <v>40307054</v>
      </c>
      <c r="C68" s="204" t="s">
        <v>406</v>
      </c>
      <c r="D68" s="212">
        <f>VLOOKUP($B68,Taul1!$A$12:$F$391,3,FALSE)</f>
        <v>3172.35</v>
      </c>
      <c r="E68" s="212">
        <f>VLOOKUP($B68,Taul1!$A$12:$F$391,4,FALSE)</f>
        <v>0</v>
      </c>
      <c r="F68" s="212">
        <f>VLOOKUP($B68,Taul1!$A$12:$F$391,5,FALSE)</f>
        <v>3142.35</v>
      </c>
      <c r="G68" s="212">
        <f>VLOOKUP($B68,Taul1!$A$12:$F$391,6,FALSE)</f>
        <v>0</v>
      </c>
    </row>
    <row r="69" spans="1:7" x14ac:dyDescent="0.25">
      <c r="A69" s="204" t="s">
        <v>184</v>
      </c>
      <c r="B69" s="204">
        <v>40307056</v>
      </c>
      <c r="C69" s="204" t="s">
        <v>407</v>
      </c>
      <c r="D69" s="212">
        <f>VLOOKUP($B69,Taul1!$A$12:$F$391,3,FALSE)</f>
        <v>2953.21</v>
      </c>
      <c r="E69" s="212">
        <f>VLOOKUP($B69,Taul1!$A$12:$F$391,4,FALSE)</f>
        <v>0</v>
      </c>
      <c r="F69" s="212">
        <f>VLOOKUP($B69,Taul1!$A$12:$F$391,5,FALSE)</f>
        <v>2925.3</v>
      </c>
      <c r="G69" s="212">
        <f>VLOOKUP($B69,Taul1!$A$12:$F$391,6,FALSE)</f>
        <v>0</v>
      </c>
    </row>
    <row r="70" spans="1:7" x14ac:dyDescent="0.25">
      <c r="A70" s="204" t="s">
        <v>184</v>
      </c>
      <c r="B70" s="204">
        <v>40307057</v>
      </c>
      <c r="C70" s="204" t="s">
        <v>408</v>
      </c>
      <c r="D70" s="212">
        <f>VLOOKUP($B70,Taul1!$A$12:$F$391,3,FALSE)</f>
        <v>2842.53</v>
      </c>
      <c r="E70" s="212">
        <f>VLOOKUP($B70,Taul1!$A$12:$F$391,4,FALSE)</f>
        <v>0</v>
      </c>
      <c r="F70" s="212">
        <f>VLOOKUP($B70,Taul1!$A$12:$F$391,5,FALSE)</f>
        <v>2815.63</v>
      </c>
      <c r="G70" s="212">
        <f>VLOOKUP($B70,Taul1!$A$12:$F$391,6,FALSE)</f>
        <v>0</v>
      </c>
    </row>
    <row r="71" spans="1:7" x14ac:dyDescent="0.25">
      <c r="A71" s="204" t="s">
        <v>184</v>
      </c>
      <c r="B71" s="204">
        <v>40307099</v>
      </c>
      <c r="C71" s="204" t="s">
        <v>494</v>
      </c>
      <c r="D71" s="212">
        <f>VLOOKUP($B71,Taul1!$A$12:$F$391,3,FALSE)</f>
        <v>2321.64</v>
      </c>
      <c r="E71" s="212">
        <f>VLOOKUP($B71,Taul1!$A$12:$F$391,4,FALSE)</f>
        <v>0</v>
      </c>
      <c r="F71" s="212">
        <f>VLOOKUP($B71,Taul1!$A$12:$F$391,5,FALSE)</f>
        <v>2300.3200000000002</v>
      </c>
      <c r="G71" s="212">
        <f>VLOOKUP($B71,Taul1!$A$12:$F$391,6,FALSE)</f>
        <v>0</v>
      </c>
    </row>
    <row r="72" spans="1:7" x14ac:dyDescent="0.25">
      <c r="A72" s="204" t="s">
        <v>184</v>
      </c>
      <c r="B72" s="204">
        <v>40307059</v>
      </c>
      <c r="C72" s="204" t="s">
        <v>409</v>
      </c>
      <c r="D72" s="212">
        <f>VLOOKUP($B72,Taul1!$A$12:$F$391,3,FALSE)</f>
        <v>2216.34</v>
      </c>
      <c r="E72" s="212">
        <f>VLOOKUP($B72,Taul1!$A$12:$F$391,4,FALSE)</f>
        <v>0</v>
      </c>
      <c r="F72" s="212">
        <f>VLOOKUP($B72,Taul1!$A$12:$F$391,5,FALSE)</f>
        <v>2196.85</v>
      </c>
      <c r="G72" s="212">
        <f>VLOOKUP($B72,Taul1!$A$12:$F$391,6,FALSE)</f>
        <v>0</v>
      </c>
    </row>
    <row r="73" spans="1:7" x14ac:dyDescent="0.25">
      <c r="A73" s="204" t="s">
        <v>184</v>
      </c>
      <c r="B73" s="204">
        <v>40307062</v>
      </c>
      <c r="C73" s="204" t="s">
        <v>410</v>
      </c>
      <c r="D73" s="212">
        <f>VLOOKUP($B73,Taul1!$A$12:$F$391,3,FALSE)</f>
        <v>2548.33</v>
      </c>
      <c r="E73" s="212">
        <f>VLOOKUP($B73,Taul1!$A$12:$F$391,4,FALSE)</f>
        <v>0</v>
      </c>
      <c r="F73" s="212">
        <f>VLOOKUP($B73,Taul1!$A$12:$F$391,5,FALSE)</f>
        <v>2524.21</v>
      </c>
      <c r="G73" s="212">
        <f>VLOOKUP($B73,Taul1!$A$12:$F$391,6,FALSE)</f>
        <v>0</v>
      </c>
    </row>
    <row r="74" spans="1:7" x14ac:dyDescent="0.25">
      <c r="A74" s="204" t="s">
        <v>184</v>
      </c>
      <c r="B74" s="204">
        <v>40307065</v>
      </c>
      <c r="C74" s="204" t="s">
        <v>495</v>
      </c>
      <c r="D74" s="212">
        <f>VLOOKUP($B74,Taul1!$A$12:$F$391,3,FALSE)</f>
        <v>2548.33</v>
      </c>
      <c r="E74" s="212">
        <f>VLOOKUP($B74,Taul1!$A$12:$F$391,4,FALSE)</f>
        <v>0</v>
      </c>
      <c r="F74" s="212">
        <f>VLOOKUP($B74,Taul1!$A$12:$F$391,5,FALSE)</f>
        <v>2524.21</v>
      </c>
      <c r="G74" s="212">
        <f>VLOOKUP($B74,Taul1!$A$12:$F$391,6,FALSE)</f>
        <v>0</v>
      </c>
    </row>
    <row r="75" spans="1:7" x14ac:dyDescent="0.25">
      <c r="A75" s="204" t="s">
        <v>184</v>
      </c>
      <c r="B75" s="204">
        <v>40307063</v>
      </c>
      <c r="C75" s="204" t="s">
        <v>411</v>
      </c>
      <c r="D75" s="212">
        <f>VLOOKUP($B75,Taul1!$A$12:$F$391,3,FALSE)</f>
        <v>2495.33</v>
      </c>
      <c r="E75" s="212">
        <f>VLOOKUP($B75,Taul1!$A$12:$F$391,4,FALSE)</f>
        <v>0</v>
      </c>
      <c r="F75" s="212">
        <f>VLOOKUP($B75,Taul1!$A$12:$F$391,5,FALSE)</f>
        <v>2471.6799999999998</v>
      </c>
      <c r="G75" s="212">
        <f>VLOOKUP($B75,Taul1!$A$12:$F$391,6,FALSE)</f>
        <v>0</v>
      </c>
    </row>
    <row r="76" spans="1:7" x14ac:dyDescent="0.25">
      <c r="A76" s="204" t="s">
        <v>184</v>
      </c>
      <c r="B76" s="204">
        <v>40307064</v>
      </c>
      <c r="C76" s="204" t="s">
        <v>186</v>
      </c>
      <c r="D76" s="212">
        <f>VLOOKUP($B76,Taul1!$A$12:$F$391,3,FALSE)</f>
        <v>2150.8000000000002</v>
      </c>
      <c r="E76" s="212">
        <f>VLOOKUP($B76,Taul1!$A$12:$F$391,4,FALSE)</f>
        <v>0</v>
      </c>
      <c r="F76" s="212">
        <f>VLOOKUP($B76,Taul1!$A$12:$F$391,5,FALSE)</f>
        <v>2133.16</v>
      </c>
      <c r="G76" s="212">
        <f>VLOOKUP($B76,Taul1!$A$12:$F$391,6,FALSE)</f>
        <v>0</v>
      </c>
    </row>
    <row r="77" spans="1:7" x14ac:dyDescent="0.25">
      <c r="A77" s="204" t="s">
        <v>187</v>
      </c>
      <c r="B77" s="204">
        <v>40404017</v>
      </c>
      <c r="C77" s="204" t="s">
        <v>412</v>
      </c>
      <c r="D77" s="212">
        <f>VLOOKUP($B77,Taul1!$A$12:$F$391,3,FALSE)</f>
        <v>3330.92</v>
      </c>
      <c r="E77" s="212">
        <f>VLOOKUP($B77,Taul1!$A$12:$F$391,4,FALSE)</f>
        <v>0</v>
      </c>
      <c r="F77" s="212">
        <f>VLOOKUP($B77,Taul1!$A$12:$F$391,5,FALSE)</f>
        <v>3299.45</v>
      </c>
      <c r="G77" s="212">
        <f>VLOOKUP($B77,Taul1!$A$12:$F$391,6,FALSE)</f>
        <v>0</v>
      </c>
    </row>
    <row r="78" spans="1:7" x14ac:dyDescent="0.25">
      <c r="A78" s="204" t="s">
        <v>187</v>
      </c>
      <c r="B78" s="204">
        <v>40404018</v>
      </c>
      <c r="C78" s="204" t="s">
        <v>413</v>
      </c>
      <c r="D78" s="212">
        <f>VLOOKUP($B78,Taul1!$A$12:$F$391,3,FALSE)</f>
        <v>3178.93</v>
      </c>
      <c r="E78" s="212">
        <f>VLOOKUP($B78,Taul1!$A$12:$F$391,4,FALSE)</f>
        <v>0</v>
      </c>
      <c r="F78" s="212">
        <f>VLOOKUP($B78,Taul1!$A$12:$F$391,5,FALSE)</f>
        <v>3148.82</v>
      </c>
      <c r="G78" s="212">
        <f>VLOOKUP($B78,Taul1!$A$12:$F$391,6,FALSE)</f>
        <v>0</v>
      </c>
    </row>
    <row r="79" spans="1:7" x14ac:dyDescent="0.25">
      <c r="A79" s="204" t="s">
        <v>187</v>
      </c>
      <c r="B79" s="204">
        <v>40404022</v>
      </c>
      <c r="C79" s="204" t="s">
        <v>381</v>
      </c>
      <c r="D79" s="212">
        <f>VLOOKUP($B79,Taul1!$A$12:$F$391,3,FALSE)</f>
        <v>2682.87</v>
      </c>
      <c r="E79" s="212">
        <f>VLOOKUP($B79,Taul1!$A$12:$F$391,4,FALSE)</f>
        <v>0</v>
      </c>
      <c r="F79" s="212">
        <f>VLOOKUP($B79,Taul1!$A$12:$F$391,5,FALSE)</f>
        <v>2657.53</v>
      </c>
      <c r="G79" s="212">
        <f>VLOOKUP($B79,Taul1!$A$12:$F$391,6,FALSE)</f>
        <v>0</v>
      </c>
    </row>
    <row r="80" spans="1:7" x14ac:dyDescent="0.25">
      <c r="A80" s="204" t="s">
        <v>187</v>
      </c>
      <c r="B80" s="204">
        <v>40404023</v>
      </c>
      <c r="C80" s="204" t="s">
        <v>414</v>
      </c>
      <c r="D80" s="212">
        <f>VLOOKUP($B80,Taul1!$A$12:$F$391,3,FALSE)</f>
        <v>2377.0300000000002</v>
      </c>
      <c r="E80" s="212">
        <f>VLOOKUP($B80,Taul1!$A$12:$F$391,4,FALSE)</f>
        <v>0</v>
      </c>
      <c r="F80" s="212">
        <f>VLOOKUP($B80,Taul1!$A$12:$F$391,5,FALSE)</f>
        <v>2355.04</v>
      </c>
      <c r="G80" s="212">
        <f>VLOOKUP($B80,Taul1!$A$12:$F$391,6,FALSE)</f>
        <v>0</v>
      </c>
    </row>
    <row r="81" spans="1:7" x14ac:dyDescent="0.25">
      <c r="A81" s="204" t="s">
        <v>187</v>
      </c>
      <c r="B81" s="204">
        <v>40407037</v>
      </c>
      <c r="C81" s="204" t="s">
        <v>415</v>
      </c>
      <c r="D81" s="212">
        <f>VLOOKUP($B81,Taul1!$A$12:$F$391,3,FALSE)</f>
        <v>3330.92</v>
      </c>
      <c r="E81" s="212">
        <f>VLOOKUP($B81,Taul1!$A$12:$F$391,4,FALSE)</f>
        <v>0</v>
      </c>
      <c r="F81" s="212">
        <f>VLOOKUP($B81,Taul1!$A$12:$F$391,5,FALSE)</f>
        <v>3299.45</v>
      </c>
      <c r="G81" s="212">
        <f>VLOOKUP($B81,Taul1!$A$12:$F$391,6,FALSE)</f>
        <v>0</v>
      </c>
    </row>
    <row r="82" spans="1:7" x14ac:dyDescent="0.25">
      <c r="A82" s="204" t="s">
        <v>187</v>
      </c>
      <c r="B82" s="204">
        <v>40407039</v>
      </c>
      <c r="C82" s="204" t="s">
        <v>416</v>
      </c>
      <c r="D82" s="212">
        <f>VLOOKUP($B82,Taul1!$A$12:$F$391,3,FALSE)</f>
        <v>2886.47</v>
      </c>
      <c r="E82" s="212">
        <f>VLOOKUP($B82,Taul1!$A$12:$F$391,4,FALSE)</f>
        <v>0</v>
      </c>
      <c r="F82" s="212">
        <f>VLOOKUP($B82,Taul1!$A$12:$F$391,5,FALSE)</f>
        <v>2859.16</v>
      </c>
      <c r="G82" s="212">
        <f>VLOOKUP($B82,Taul1!$A$12:$F$391,6,FALSE)</f>
        <v>0</v>
      </c>
    </row>
    <row r="83" spans="1:7" x14ac:dyDescent="0.25">
      <c r="A83" s="204" t="s">
        <v>187</v>
      </c>
      <c r="B83" s="204">
        <v>40407042</v>
      </c>
      <c r="C83" s="204" t="s">
        <v>417</v>
      </c>
      <c r="D83" s="212">
        <f>VLOOKUP($B83,Taul1!$A$12:$F$391,3,FALSE)</f>
        <v>2564.2199999999998</v>
      </c>
      <c r="E83" s="212">
        <f>VLOOKUP($B83,Taul1!$A$12:$F$391,4,FALSE)</f>
        <v>0</v>
      </c>
      <c r="F83" s="212">
        <f>VLOOKUP($B83,Taul1!$A$12:$F$391,5,FALSE)</f>
        <v>2539.9699999999998</v>
      </c>
      <c r="G83" s="212">
        <f>VLOOKUP($B83,Taul1!$A$12:$F$391,6,FALSE)</f>
        <v>0</v>
      </c>
    </row>
    <row r="84" spans="1:7" x14ac:dyDescent="0.25">
      <c r="A84" s="204" t="s">
        <v>187</v>
      </c>
      <c r="B84" s="204">
        <v>40407041</v>
      </c>
      <c r="C84" s="204" t="s">
        <v>418</v>
      </c>
      <c r="D84" s="212">
        <f>VLOOKUP($B84,Taul1!$A$12:$F$391,3,FALSE)</f>
        <v>2377.0300000000002</v>
      </c>
      <c r="E84" s="212">
        <f>VLOOKUP($B84,Taul1!$A$12:$F$391,4,FALSE)</f>
        <v>0</v>
      </c>
      <c r="F84" s="212">
        <f>VLOOKUP($B84,Taul1!$A$12:$F$391,5,FALSE)</f>
        <v>2355.04</v>
      </c>
      <c r="G84" s="212">
        <f>VLOOKUP($B84,Taul1!$A$12:$F$391,6,FALSE)</f>
        <v>0</v>
      </c>
    </row>
    <row r="85" spans="1:7" x14ac:dyDescent="0.25">
      <c r="A85" s="204" t="s">
        <v>188</v>
      </c>
      <c r="B85" s="204">
        <v>40404024</v>
      </c>
      <c r="C85" s="204" t="s">
        <v>419</v>
      </c>
      <c r="D85" s="212">
        <f>VLOOKUP($B85,Taul1!$A$12:$F$391,3,FALSE)</f>
        <v>3330.92</v>
      </c>
      <c r="E85" s="212">
        <f>VLOOKUP($B85,Taul1!$A$12:$F$391,4,FALSE)</f>
        <v>0</v>
      </c>
      <c r="F85" s="212">
        <f>VLOOKUP($B85,Taul1!$A$12:$F$391,5,FALSE)</f>
        <v>3299.45</v>
      </c>
      <c r="G85" s="212">
        <f>VLOOKUP($B85,Taul1!$A$12:$F$391,6,FALSE)</f>
        <v>0</v>
      </c>
    </row>
    <row r="86" spans="1:7" x14ac:dyDescent="0.25">
      <c r="A86" s="204" t="s">
        <v>188</v>
      </c>
      <c r="B86" s="204">
        <v>40404025</v>
      </c>
      <c r="C86" s="204" t="s">
        <v>420</v>
      </c>
      <c r="D86" s="212">
        <f>VLOOKUP($B86,Taul1!$A$12:$F$391,3,FALSE)</f>
        <v>3175.83</v>
      </c>
      <c r="E86" s="212">
        <f>VLOOKUP($B86,Taul1!$A$12:$F$391,4,FALSE)</f>
        <v>0</v>
      </c>
      <c r="F86" s="212">
        <f>VLOOKUP($B86,Taul1!$A$12:$F$391,5,FALSE)</f>
        <v>3145.76</v>
      </c>
      <c r="G86" s="212">
        <f>VLOOKUP($B86,Taul1!$A$12:$F$391,6,FALSE)</f>
        <v>0</v>
      </c>
    </row>
    <row r="87" spans="1:7" x14ac:dyDescent="0.25">
      <c r="A87" s="204" t="s">
        <v>188</v>
      </c>
      <c r="B87" s="204">
        <v>40404027</v>
      </c>
      <c r="C87" s="204" t="s">
        <v>189</v>
      </c>
      <c r="D87" s="212">
        <f>VLOOKUP($B87,Taul1!$A$12:$F$391,3,FALSE)</f>
        <v>2685.54</v>
      </c>
      <c r="E87" s="212">
        <f>VLOOKUP($B87,Taul1!$A$12:$F$391,4,FALSE)</f>
        <v>0</v>
      </c>
      <c r="F87" s="212">
        <f>VLOOKUP($B87,Taul1!$A$12:$F$391,5,FALSE)</f>
        <v>2660.18</v>
      </c>
      <c r="G87" s="212">
        <f>VLOOKUP($B87,Taul1!$A$12:$F$391,6,FALSE)</f>
        <v>0</v>
      </c>
    </row>
    <row r="88" spans="1:7" x14ac:dyDescent="0.25">
      <c r="A88" s="204" t="s">
        <v>188</v>
      </c>
      <c r="B88" s="204">
        <v>40404026</v>
      </c>
      <c r="C88" s="204" t="s">
        <v>421</v>
      </c>
      <c r="D88" s="212">
        <f>VLOOKUP($B88,Taul1!$A$12:$F$391,3,FALSE)</f>
        <v>2378.1999999999998</v>
      </c>
      <c r="E88" s="212">
        <f>VLOOKUP($B88,Taul1!$A$12:$F$391,4,FALSE)</f>
        <v>0</v>
      </c>
      <c r="F88" s="212">
        <f>VLOOKUP($B88,Taul1!$A$12:$F$391,5,FALSE)</f>
        <v>2356.19</v>
      </c>
      <c r="G88" s="212">
        <f>VLOOKUP($B88,Taul1!$A$12:$F$391,6,FALSE)</f>
        <v>0</v>
      </c>
    </row>
    <row r="89" spans="1:7" x14ac:dyDescent="0.25">
      <c r="A89" s="204" t="s">
        <v>188</v>
      </c>
      <c r="B89" s="204">
        <v>40407050</v>
      </c>
      <c r="C89" s="204" t="s">
        <v>415</v>
      </c>
      <c r="D89" s="212">
        <f>VLOOKUP($B89,Taul1!$A$12:$F$391,3,FALSE)</f>
        <v>3330.92</v>
      </c>
      <c r="E89" s="212">
        <f>VLOOKUP($B89,Taul1!$A$12:$F$391,4,FALSE)</f>
        <v>0</v>
      </c>
      <c r="F89" s="212">
        <f>VLOOKUP($B89,Taul1!$A$12:$F$391,5,FALSE)</f>
        <v>3299.45</v>
      </c>
      <c r="G89" s="212">
        <f>VLOOKUP($B89,Taul1!$A$12:$F$391,6,FALSE)</f>
        <v>0</v>
      </c>
    </row>
    <row r="90" spans="1:7" x14ac:dyDescent="0.25">
      <c r="A90" s="204" t="s">
        <v>188</v>
      </c>
      <c r="B90" s="204">
        <v>40407051</v>
      </c>
      <c r="C90" s="204" t="s">
        <v>422</v>
      </c>
      <c r="D90" s="212">
        <f>VLOOKUP($B90,Taul1!$A$12:$F$391,3,FALSE)</f>
        <v>2886.47</v>
      </c>
      <c r="E90" s="212">
        <f>VLOOKUP($B90,Taul1!$A$12:$F$391,4,FALSE)</f>
        <v>0</v>
      </c>
      <c r="F90" s="212">
        <f>VLOOKUP($B90,Taul1!$A$12:$F$391,5,FALSE)</f>
        <v>2859.16</v>
      </c>
      <c r="G90" s="212">
        <f>VLOOKUP($B90,Taul1!$A$12:$F$391,6,FALSE)</f>
        <v>0</v>
      </c>
    </row>
    <row r="91" spans="1:7" x14ac:dyDescent="0.25">
      <c r="A91" s="204" t="s">
        <v>188</v>
      </c>
      <c r="B91" s="204">
        <v>40407053</v>
      </c>
      <c r="C91" s="204" t="s">
        <v>417</v>
      </c>
      <c r="D91" s="212">
        <f>VLOOKUP($B91,Taul1!$A$12:$F$391,3,FALSE)</f>
        <v>2564.2199999999998</v>
      </c>
      <c r="E91" s="212">
        <f>VLOOKUP($B91,Taul1!$A$12:$F$391,4,FALSE)</f>
        <v>0</v>
      </c>
      <c r="F91" s="212">
        <f>VLOOKUP($B91,Taul1!$A$12:$F$391,5,FALSE)</f>
        <v>2539.9699999999998</v>
      </c>
      <c r="G91" s="212">
        <f>VLOOKUP($B91,Taul1!$A$12:$F$391,6,FALSE)</f>
        <v>0</v>
      </c>
    </row>
    <row r="92" spans="1:7" x14ac:dyDescent="0.25">
      <c r="A92" s="204" t="s">
        <v>188</v>
      </c>
      <c r="B92" s="204">
        <v>40407054</v>
      </c>
      <c r="C92" s="204" t="s">
        <v>423</v>
      </c>
      <c r="D92" s="212">
        <f>VLOOKUP($B92,Taul1!$A$12:$F$391,3,FALSE)</f>
        <v>2377.0300000000002</v>
      </c>
      <c r="E92" s="212">
        <f>VLOOKUP($B92,Taul1!$A$12:$F$391,4,FALSE)</f>
        <v>0</v>
      </c>
      <c r="F92" s="212">
        <f>VLOOKUP($B92,Taul1!$A$12:$F$391,5,FALSE)</f>
        <v>2355.04</v>
      </c>
      <c r="G92" s="212">
        <f>VLOOKUP($B92,Taul1!$A$12:$F$391,6,FALSE)</f>
        <v>0</v>
      </c>
    </row>
    <row r="93" spans="1:7" x14ac:dyDescent="0.25">
      <c r="A93" s="204" t="s">
        <v>190</v>
      </c>
      <c r="B93" s="204">
        <v>40901024</v>
      </c>
      <c r="C93" s="204" t="s">
        <v>424</v>
      </c>
      <c r="D93" s="212">
        <f>VLOOKUP($B93,Taul1!$A$12:$F$391,3,FALSE)</f>
        <v>4339.8900000000003</v>
      </c>
      <c r="E93" s="212">
        <f>VLOOKUP($B93,Taul1!$A$12:$F$391,4,FALSE)</f>
        <v>0</v>
      </c>
      <c r="F93" s="212">
        <f>VLOOKUP($B93,Taul1!$A$12:$F$391,5,FALSE)</f>
        <v>4298.3</v>
      </c>
      <c r="G93" s="212">
        <f>VLOOKUP($B93,Taul1!$A$12:$F$391,6,FALSE)</f>
        <v>0</v>
      </c>
    </row>
    <row r="94" spans="1:7" x14ac:dyDescent="0.25">
      <c r="A94" s="204" t="s">
        <v>190</v>
      </c>
      <c r="B94" s="204">
        <v>40003001</v>
      </c>
      <c r="C94" s="204" t="s">
        <v>425</v>
      </c>
      <c r="D94" s="212">
        <f>VLOOKUP($B94,Taul1!$A$12:$F$391,3,FALSE)</f>
        <v>4121.25</v>
      </c>
      <c r="E94" s="212">
        <f>VLOOKUP($B94,Taul1!$A$12:$F$391,4,FALSE)</f>
        <v>0</v>
      </c>
      <c r="F94" s="212">
        <f>VLOOKUP($B94,Taul1!$A$12:$F$391,5,FALSE)</f>
        <v>4081.64</v>
      </c>
      <c r="G94" s="212">
        <f>VLOOKUP($B94,Taul1!$A$12:$F$391,6,FALSE)</f>
        <v>0</v>
      </c>
    </row>
    <row r="95" spans="1:7" x14ac:dyDescent="0.25">
      <c r="A95" s="204" t="s">
        <v>190</v>
      </c>
      <c r="B95" s="204">
        <v>40003002</v>
      </c>
      <c r="C95" s="204" t="s">
        <v>191</v>
      </c>
      <c r="D95" s="212">
        <f>VLOOKUP($B95,Taul1!$A$12:$F$391,3,FALSE)</f>
        <v>3978.63</v>
      </c>
      <c r="E95" s="212">
        <f>VLOOKUP($B95,Taul1!$A$12:$F$391,4,FALSE)</f>
        <v>0</v>
      </c>
      <c r="F95" s="212">
        <f>VLOOKUP($B95,Taul1!$A$12:$F$391,5,FALSE)</f>
        <v>3940.08</v>
      </c>
      <c r="G95" s="212">
        <f>VLOOKUP($B95,Taul1!$A$12:$F$391,6,FALSE)</f>
        <v>0</v>
      </c>
    </row>
    <row r="96" spans="1:7" x14ac:dyDescent="0.25">
      <c r="A96" s="204" t="s">
        <v>193</v>
      </c>
      <c r="B96" s="204">
        <v>40801002</v>
      </c>
      <c r="C96" s="204" t="s">
        <v>424</v>
      </c>
      <c r="D96" s="212">
        <f>VLOOKUP($B96,Taul1!$A$12:$F$391,3,FALSE)</f>
        <v>4017.55</v>
      </c>
      <c r="E96" s="212">
        <f>VLOOKUP($B96,Taul1!$A$12:$F$391,4,FALSE)</f>
        <v>5058.17</v>
      </c>
      <c r="F96" s="212">
        <f>VLOOKUP($B96,Taul1!$A$12:$F$391,5,FALSE)</f>
        <v>3978.99</v>
      </c>
      <c r="G96" s="212">
        <f>VLOOKUP($B96,Taul1!$A$12:$F$391,6,FALSE)</f>
        <v>5009.58</v>
      </c>
    </row>
    <row r="97" spans="1:7" x14ac:dyDescent="0.25">
      <c r="A97" s="204" t="s">
        <v>193</v>
      </c>
      <c r="B97" s="204">
        <v>40802005</v>
      </c>
      <c r="C97" s="204" t="s">
        <v>435</v>
      </c>
      <c r="D97" s="212">
        <f>VLOOKUP($B97,Taul1!$A$12:$F$391,3,FALSE)</f>
        <v>3615.33</v>
      </c>
      <c r="E97" s="212">
        <f>VLOOKUP($B97,Taul1!$A$12:$F$391,4,FALSE)</f>
        <v>4469.53</v>
      </c>
      <c r="F97" s="212">
        <f>VLOOKUP($B97,Taul1!$A$12:$F$391,5,FALSE)</f>
        <v>3580.59</v>
      </c>
      <c r="G97" s="212">
        <f>VLOOKUP($B97,Taul1!$A$12:$F$391,6,FALSE)</f>
        <v>4426.62</v>
      </c>
    </row>
    <row r="98" spans="1:7" x14ac:dyDescent="0.25">
      <c r="A98" s="204" t="s">
        <v>193</v>
      </c>
      <c r="B98" s="204">
        <v>40804012</v>
      </c>
      <c r="C98" s="204" t="s">
        <v>436</v>
      </c>
      <c r="D98" s="212">
        <f>VLOOKUP($B98,Taul1!$A$12:$F$391,3,FALSE)</f>
        <v>2822.82</v>
      </c>
      <c r="E98" s="212">
        <f>VLOOKUP($B98,Taul1!$A$12:$F$391,4,FALSE)</f>
        <v>0</v>
      </c>
      <c r="F98" s="212">
        <f>VLOOKUP($B98,Taul1!$A$12:$F$391,5,FALSE)</f>
        <v>2795.96</v>
      </c>
      <c r="G98" s="212">
        <f>VLOOKUP($B98,Taul1!$A$12:$F$391,6,FALSE)</f>
        <v>0</v>
      </c>
    </row>
    <row r="99" spans="1:7" x14ac:dyDescent="0.25">
      <c r="A99" s="204" t="s">
        <v>193</v>
      </c>
      <c r="B99" s="204">
        <v>40804014</v>
      </c>
      <c r="C99" s="204" t="s">
        <v>437</v>
      </c>
      <c r="D99" s="212">
        <f>VLOOKUP($B99,Taul1!$A$12:$F$391,3,FALSE)</f>
        <v>2748.94</v>
      </c>
      <c r="E99" s="212">
        <f>VLOOKUP($B99,Taul1!$A$12:$F$391,4,FALSE)</f>
        <v>0</v>
      </c>
      <c r="F99" s="212">
        <f>VLOOKUP($B99,Taul1!$A$12:$F$391,5,FALSE)</f>
        <v>2722.81</v>
      </c>
      <c r="G99" s="212">
        <f>VLOOKUP($B99,Taul1!$A$12:$F$391,6,FALSE)</f>
        <v>0</v>
      </c>
    </row>
    <row r="100" spans="1:7" x14ac:dyDescent="0.25">
      <c r="A100" s="204" t="s">
        <v>193</v>
      </c>
      <c r="B100" s="204">
        <v>40804013</v>
      </c>
      <c r="C100" s="204" t="s">
        <v>438</v>
      </c>
      <c r="D100" s="212">
        <f>VLOOKUP($B100,Taul1!$A$12:$F$391,3,FALSE)</f>
        <v>2473.5</v>
      </c>
      <c r="E100" s="212">
        <f>VLOOKUP($B100,Taul1!$A$12:$F$391,4,FALSE)</f>
        <v>0</v>
      </c>
      <c r="F100" s="212">
        <f>VLOOKUP($B100,Taul1!$A$12:$F$391,5,FALSE)</f>
        <v>2449.98</v>
      </c>
      <c r="G100" s="212">
        <f>VLOOKUP($B100,Taul1!$A$12:$F$391,6,FALSE)</f>
        <v>0</v>
      </c>
    </row>
    <row r="101" spans="1:7" x14ac:dyDescent="0.25">
      <c r="A101" s="204" t="s">
        <v>193</v>
      </c>
      <c r="B101" s="204">
        <v>40804008</v>
      </c>
      <c r="C101" s="204" t="s">
        <v>439</v>
      </c>
      <c r="D101" s="212">
        <f>VLOOKUP($B101,Taul1!$A$12:$F$391,3,FALSE)</f>
        <v>2822.82</v>
      </c>
      <c r="E101" s="212">
        <f>VLOOKUP($B101,Taul1!$A$12:$F$391,4,FALSE)</f>
        <v>0</v>
      </c>
      <c r="F101" s="212">
        <f>VLOOKUP($B101,Taul1!$A$12:$F$391,5,FALSE)</f>
        <v>2795.96</v>
      </c>
      <c r="G101" s="212">
        <f>VLOOKUP($B101,Taul1!$A$12:$F$391,6,FALSE)</f>
        <v>0</v>
      </c>
    </row>
    <row r="102" spans="1:7" x14ac:dyDescent="0.25">
      <c r="A102" s="204" t="s">
        <v>193</v>
      </c>
      <c r="B102" s="204">
        <v>40807026</v>
      </c>
      <c r="C102" s="204" t="s">
        <v>428</v>
      </c>
      <c r="D102" s="212">
        <f>VLOOKUP($B102,Taul1!$A$12:$F$391,3,FALSE)</f>
        <v>2586.04</v>
      </c>
      <c r="E102" s="212">
        <f>VLOOKUP($B102,Taul1!$A$12:$F$391,4,FALSE)</f>
        <v>0</v>
      </c>
      <c r="F102" s="212">
        <f>VLOOKUP($B102,Taul1!$A$12:$F$391,5,FALSE)</f>
        <v>2561.38</v>
      </c>
      <c r="G102" s="212">
        <f>VLOOKUP($B102,Taul1!$A$12:$F$391,6,FALSE)</f>
        <v>0</v>
      </c>
    </row>
    <row r="103" spans="1:7" x14ac:dyDescent="0.25">
      <c r="A103" s="204" t="s">
        <v>193</v>
      </c>
      <c r="B103" s="204">
        <v>40807028</v>
      </c>
      <c r="C103" s="204" t="s">
        <v>440</v>
      </c>
      <c r="D103" s="212">
        <f>VLOOKUP($B103,Taul1!$A$12:$F$391,3,FALSE)</f>
        <v>2534.52</v>
      </c>
      <c r="E103" s="212">
        <f>VLOOKUP($B103,Taul1!$A$12:$F$391,4,FALSE)</f>
        <v>0</v>
      </c>
      <c r="F103" s="212">
        <f>VLOOKUP($B103,Taul1!$A$12:$F$391,5,FALSE)</f>
        <v>2510.38</v>
      </c>
      <c r="G103" s="212">
        <f>VLOOKUP($B103,Taul1!$A$12:$F$391,6,FALSE)</f>
        <v>0</v>
      </c>
    </row>
    <row r="104" spans="1:7" x14ac:dyDescent="0.25">
      <c r="A104" s="204" t="s">
        <v>193</v>
      </c>
      <c r="B104" s="204">
        <v>40807027</v>
      </c>
      <c r="C104" s="204" t="s">
        <v>441</v>
      </c>
      <c r="D104" s="212">
        <f>VLOOKUP($B104,Taul1!$A$12:$F$391,3,FALSE)</f>
        <v>2360.15</v>
      </c>
      <c r="E104" s="212">
        <f>VLOOKUP($B104,Taul1!$A$12:$F$391,4,FALSE)</f>
        <v>0</v>
      </c>
      <c r="F104" s="212">
        <f>VLOOKUP($B104,Taul1!$A$12:$F$391,5,FALSE)</f>
        <v>2338.16</v>
      </c>
      <c r="G104" s="212">
        <f>VLOOKUP($B104,Taul1!$A$12:$F$391,6,FALSE)</f>
        <v>0</v>
      </c>
    </row>
    <row r="105" spans="1:7" x14ac:dyDescent="0.25">
      <c r="A105" s="204" t="s">
        <v>194</v>
      </c>
      <c r="B105" s="204">
        <v>40501001</v>
      </c>
      <c r="C105" s="204" t="s">
        <v>442</v>
      </c>
      <c r="D105" s="212">
        <f>VLOOKUP($B105,Taul1!$A$12:$F$391,3,FALSE)</f>
        <v>3508.62</v>
      </c>
      <c r="E105" s="212">
        <f>VLOOKUP($B105,Taul1!$A$12:$F$391,4,FALSE)</f>
        <v>4090.86</v>
      </c>
      <c r="F105" s="212">
        <f>VLOOKUP($B105,Taul1!$A$12:$F$391,5,FALSE)</f>
        <v>3481.81</v>
      </c>
      <c r="G105" s="212">
        <f>VLOOKUP($B105,Taul1!$A$12:$F$391,6,FALSE)</f>
        <v>4051.65</v>
      </c>
    </row>
    <row r="106" spans="1:7" x14ac:dyDescent="0.25">
      <c r="A106" s="204" t="s">
        <v>194</v>
      </c>
      <c r="B106" s="204">
        <v>40501002</v>
      </c>
      <c r="C106" s="204" t="s">
        <v>443</v>
      </c>
      <c r="D106" s="212">
        <f>VLOOKUP($B106,Taul1!$A$12:$F$391,3,FALSE)</f>
        <v>3508.62</v>
      </c>
      <c r="E106" s="212">
        <f>VLOOKUP($B106,Taul1!$A$12:$F$391,4,FALSE)</f>
        <v>4090.86</v>
      </c>
      <c r="F106" s="212">
        <f>VLOOKUP($B106,Taul1!$A$12:$F$391,5,FALSE)</f>
        <v>3481.81</v>
      </c>
      <c r="G106" s="212">
        <f>VLOOKUP($B106,Taul1!$A$12:$F$391,6,FALSE)</f>
        <v>4051.65</v>
      </c>
    </row>
    <row r="107" spans="1:7" x14ac:dyDescent="0.25">
      <c r="A107" s="204" t="s">
        <v>194</v>
      </c>
      <c r="B107" s="204">
        <v>40504004</v>
      </c>
      <c r="C107" s="204" t="s">
        <v>444</v>
      </c>
      <c r="D107" s="212">
        <f>VLOOKUP($B107,Taul1!$A$12:$F$391,3,FALSE)</f>
        <v>2406.7199999999998</v>
      </c>
      <c r="E107" s="212">
        <f>VLOOKUP($B107,Taul1!$A$12:$F$391,4,FALSE)</f>
        <v>2729.09</v>
      </c>
      <c r="F107" s="212">
        <f>VLOOKUP($B107,Taul1!$A$12:$F$391,5,FALSE)</f>
        <v>2385.48</v>
      </c>
      <c r="G107" s="212">
        <f>VLOOKUP($B107,Taul1!$A$12:$F$391,6,FALSE)</f>
        <v>2703</v>
      </c>
    </row>
    <row r="108" spans="1:7" x14ac:dyDescent="0.25">
      <c r="A108" s="204" t="s">
        <v>194</v>
      </c>
      <c r="B108" s="204">
        <v>40504005</v>
      </c>
      <c r="C108" s="204" t="s">
        <v>445</v>
      </c>
      <c r="D108" s="212">
        <f>VLOOKUP($B108,Taul1!$A$12:$F$391,3,FALSE)</f>
        <v>2497.46</v>
      </c>
      <c r="E108" s="212">
        <f>VLOOKUP($B108,Taul1!$A$12:$F$391,4,FALSE)</f>
        <v>2880.8</v>
      </c>
      <c r="F108" s="212">
        <f>VLOOKUP($B108,Taul1!$A$12:$F$391,5,FALSE)</f>
        <v>2474.77</v>
      </c>
      <c r="G108" s="212">
        <f>VLOOKUP($B108,Taul1!$A$12:$F$391,6,FALSE)</f>
        <v>2853.23</v>
      </c>
    </row>
    <row r="109" spans="1:7" x14ac:dyDescent="0.25">
      <c r="A109" s="204" t="s">
        <v>196</v>
      </c>
      <c r="B109" s="204">
        <v>40601001</v>
      </c>
      <c r="C109" s="204" t="s">
        <v>424</v>
      </c>
      <c r="D109" s="212">
        <f>VLOOKUP($B109,Taul1!$A$12:$F$391,3,FALSE)</f>
        <v>3980.51</v>
      </c>
      <c r="E109" s="212">
        <f>VLOOKUP($B109,Taul1!$A$12:$F$391,4,FALSE)</f>
        <v>4807.04</v>
      </c>
      <c r="F109" s="212">
        <f>VLOOKUP($B109,Taul1!$A$12:$F$391,5,FALSE)</f>
        <v>3942.4</v>
      </c>
      <c r="G109" s="212">
        <f>VLOOKUP($B109,Taul1!$A$12:$F$391,6,FALSE)</f>
        <v>4762.6899999999996</v>
      </c>
    </row>
    <row r="110" spans="1:7" x14ac:dyDescent="0.25">
      <c r="A110" s="204" t="s">
        <v>196</v>
      </c>
      <c r="B110" s="204">
        <v>40602002</v>
      </c>
      <c r="C110" s="204" t="s">
        <v>435</v>
      </c>
      <c r="D110" s="212">
        <f>VLOOKUP($B110,Taul1!$A$12:$F$391,3,FALSE)</f>
        <v>3369.97</v>
      </c>
      <c r="E110" s="212">
        <f>VLOOKUP($B110,Taul1!$A$12:$F$391,4,FALSE)</f>
        <v>4259.3500000000004</v>
      </c>
      <c r="F110" s="212">
        <f>VLOOKUP($B110,Taul1!$A$12:$F$391,5,FALSE)</f>
        <v>3337.72</v>
      </c>
      <c r="G110" s="212">
        <f>VLOOKUP($B110,Taul1!$A$12:$F$391,6,FALSE)</f>
        <v>4218.63</v>
      </c>
    </row>
    <row r="111" spans="1:7" x14ac:dyDescent="0.25">
      <c r="A111" s="204" t="s">
        <v>196</v>
      </c>
      <c r="B111" s="204">
        <v>40604006</v>
      </c>
      <c r="C111" s="204" t="s">
        <v>436</v>
      </c>
      <c r="D111" s="212">
        <f>VLOOKUP($B111,Taul1!$A$12:$F$391,3,FALSE)</f>
        <v>2835.87</v>
      </c>
      <c r="E111" s="212">
        <f>VLOOKUP($B111,Taul1!$A$12:$F$391,4,FALSE)</f>
        <v>0</v>
      </c>
      <c r="F111" s="212">
        <f>VLOOKUP($B111,Taul1!$A$12:$F$391,5,FALSE)</f>
        <v>2809</v>
      </c>
      <c r="G111" s="212">
        <f>VLOOKUP($B111,Taul1!$A$12:$F$391,6,FALSE)</f>
        <v>0</v>
      </c>
    </row>
    <row r="112" spans="1:7" x14ac:dyDescent="0.25">
      <c r="A112" s="204" t="s">
        <v>196</v>
      </c>
      <c r="B112" s="204">
        <v>40604007</v>
      </c>
      <c r="C112" s="204" t="s">
        <v>446</v>
      </c>
      <c r="D112" s="212">
        <f>VLOOKUP($B112,Taul1!$A$12:$F$391,3,FALSE)</f>
        <v>2551.59</v>
      </c>
      <c r="E112" s="212">
        <f>VLOOKUP($B112,Taul1!$A$12:$F$391,4,FALSE)</f>
        <v>0</v>
      </c>
      <c r="F112" s="212">
        <f>VLOOKUP($B112,Taul1!$A$12:$F$391,5,FALSE)</f>
        <v>2527.4299999999998</v>
      </c>
      <c r="G112" s="212">
        <f>VLOOKUP($B112,Taul1!$A$12:$F$391,6,FALSE)</f>
        <v>0</v>
      </c>
    </row>
    <row r="113" spans="1:19" x14ac:dyDescent="0.25">
      <c r="A113" s="204" t="s">
        <v>196</v>
      </c>
      <c r="B113" s="204">
        <v>40604008</v>
      </c>
      <c r="C113" s="204" t="s">
        <v>447</v>
      </c>
      <c r="D113" s="212">
        <f>VLOOKUP($B113,Taul1!$A$12:$F$391,3,FALSE)</f>
        <v>3139.7</v>
      </c>
      <c r="E113" s="212">
        <f>VLOOKUP($B113,Taul1!$A$12:$F$391,4,FALSE)</f>
        <v>3484.42</v>
      </c>
      <c r="F113" s="212">
        <f>VLOOKUP($B113,Taul1!$A$12:$F$391,5,FALSE)</f>
        <v>0</v>
      </c>
      <c r="G113" s="212">
        <f>VLOOKUP($B113,Taul1!$A$12:$F$391,6,FALSE)</f>
        <v>0</v>
      </c>
    </row>
    <row r="114" spans="1:19" x14ac:dyDescent="0.25">
      <c r="A114" s="204" t="s">
        <v>196</v>
      </c>
      <c r="B114" s="204">
        <v>40604009</v>
      </c>
      <c r="C114" s="204" t="s">
        <v>448</v>
      </c>
      <c r="D114" s="212">
        <f>VLOOKUP($B114,Taul1!$A$12:$F$391,3,FALSE)</f>
        <v>2839.68</v>
      </c>
      <c r="E114" s="212">
        <f>VLOOKUP($B114,Taul1!$A$12:$F$391,4,FALSE)</f>
        <v>3090.18</v>
      </c>
      <c r="F114" s="212">
        <f>VLOOKUP($B114,Taul1!$A$12:$F$391,5,FALSE)</f>
        <v>0</v>
      </c>
      <c r="G114" s="212">
        <f>VLOOKUP($B114,Taul1!$A$12:$F$391,6,FALSE)</f>
        <v>0</v>
      </c>
    </row>
    <row r="115" spans="1:19" x14ac:dyDescent="0.25">
      <c r="A115" s="204" t="s">
        <v>198</v>
      </c>
      <c r="B115" s="204">
        <v>40701011</v>
      </c>
      <c r="C115" s="204" t="s">
        <v>424</v>
      </c>
      <c r="D115" s="212">
        <f>VLOOKUP($B115,Taul1!$A$12:$F$391,3,FALSE)</f>
        <v>3869</v>
      </c>
      <c r="E115" s="212">
        <f>VLOOKUP($B115,Taul1!$A$12:$F$391,4,FALSE)</f>
        <v>4626.46</v>
      </c>
      <c r="F115" s="212">
        <f>VLOOKUP($B115,Taul1!$A$12:$F$391,5,FALSE)</f>
        <v>3831.99</v>
      </c>
      <c r="G115" s="212">
        <f>VLOOKUP($B115,Taul1!$A$12:$F$391,6,FALSE)</f>
        <v>4565.97</v>
      </c>
    </row>
    <row r="116" spans="1:19" x14ac:dyDescent="0.25">
      <c r="A116" s="204" t="s">
        <v>198</v>
      </c>
      <c r="B116" s="204">
        <v>40704021</v>
      </c>
      <c r="C116" s="204" t="s">
        <v>449</v>
      </c>
      <c r="D116" s="212">
        <f>VLOOKUP($B116,Taul1!$A$12:$F$391,3,FALSE)</f>
        <v>3586.95</v>
      </c>
      <c r="E116" s="212">
        <f>VLOOKUP($B116,Taul1!$A$12:$F$391,4,FALSE)</f>
        <v>0</v>
      </c>
      <c r="F116" s="212">
        <f>VLOOKUP($B116,Taul1!$A$12:$F$391,5,FALSE)</f>
        <v>3552.93</v>
      </c>
      <c r="G116" s="212">
        <f>VLOOKUP($B116,Taul1!$A$12:$F$391,6,FALSE)</f>
        <v>0</v>
      </c>
    </row>
    <row r="117" spans="1:19" x14ac:dyDescent="0.25">
      <c r="A117" s="204" t="s">
        <v>198</v>
      </c>
      <c r="B117" s="204">
        <v>40704022</v>
      </c>
      <c r="C117" s="204" t="s">
        <v>450</v>
      </c>
      <c r="D117" s="212">
        <f>VLOOKUP($B117,Taul1!$A$12:$F$391,3,FALSE)</f>
        <v>3497.13</v>
      </c>
      <c r="E117" s="212">
        <f>VLOOKUP($B117,Taul1!$A$12:$F$391,4,FALSE)</f>
        <v>0</v>
      </c>
      <c r="F117" s="212">
        <f>VLOOKUP($B117,Taul1!$A$12:$F$391,5,FALSE)</f>
        <v>3463.95</v>
      </c>
      <c r="G117" s="212">
        <f>VLOOKUP($B117,Taul1!$A$12:$F$391,6,FALSE)</f>
        <v>0</v>
      </c>
    </row>
    <row r="118" spans="1:19" x14ac:dyDescent="0.25">
      <c r="A118" s="204" t="s">
        <v>198</v>
      </c>
      <c r="B118" s="204">
        <v>40704023</v>
      </c>
      <c r="C118" s="204" t="s">
        <v>451</v>
      </c>
      <c r="D118" s="212">
        <f>VLOOKUP($B118,Taul1!$A$12:$F$391,3,FALSE)</f>
        <v>3002.52</v>
      </c>
      <c r="E118" s="212">
        <f>VLOOKUP($B118,Taul1!$A$12:$F$391,4,FALSE)</f>
        <v>0</v>
      </c>
      <c r="F118" s="212">
        <f>VLOOKUP($B118,Taul1!$A$12:$F$391,5,FALSE)</f>
        <v>2974.05</v>
      </c>
      <c r="G118" s="212">
        <f>VLOOKUP($B118,Taul1!$A$12:$F$391,6,FALSE)</f>
        <v>0</v>
      </c>
    </row>
    <row r="119" spans="1:19" x14ac:dyDescent="0.25">
      <c r="A119" s="204" t="s">
        <v>461</v>
      </c>
      <c r="B119" s="204">
        <v>45000020</v>
      </c>
      <c r="C119" s="204" t="s">
        <v>462</v>
      </c>
      <c r="D119" s="212">
        <f>VLOOKUP($B119,Taul1!$A$12:$F$391,3,FALSE)</f>
        <v>3225.57</v>
      </c>
      <c r="E119" s="212">
        <f>VLOOKUP($B119,Taul1!$A$12:$F$391,4,FALSE)</f>
        <v>0</v>
      </c>
      <c r="F119" s="212">
        <f>VLOOKUP($B119,Taul1!$A$12:$F$391,5,FALSE)</f>
        <v>0</v>
      </c>
      <c r="G119" s="212">
        <f>VLOOKUP($B119,Taul1!$A$12:$F$391,6,FALSE)</f>
        <v>0</v>
      </c>
      <c r="I119" s="212"/>
      <c r="J119" s="212"/>
      <c r="K119" s="212"/>
      <c r="L119" s="212"/>
      <c r="M119" s="212"/>
      <c r="N119" s="212"/>
    </row>
    <row r="120" spans="1:19" x14ac:dyDescent="0.25">
      <c r="A120" s="204" t="s">
        <v>461</v>
      </c>
      <c r="B120" s="204">
        <v>45000030</v>
      </c>
      <c r="C120" s="204" t="s">
        <v>463</v>
      </c>
      <c r="D120" s="212">
        <f>VLOOKUP($B120,Taul1!$A$12:$F$391,3,FALSE)</f>
        <v>3002.63</v>
      </c>
      <c r="E120" s="212">
        <f>VLOOKUP($B120,Taul1!$A$12:$F$391,4,FALSE)</f>
        <v>0</v>
      </c>
      <c r="F120" s="212">
        <f>VLOOKUP($B120,Taul1!$A$12:$F$391,5,FALSE)</f>
        <v>0</v>
      </c>
      <c r="G120" s="212">
        <f>VLOOKUP($B120,Taul1!$A$12:$F$391,6,FALSE)</f>
        <v>0</v>
      </c>
    </row>
    <row r="121" spans="1:19" x14ac:dyDescent="0.25">
      <c r="A121" s="204" t="s">
        <v>461</v>
      </c>
      <c r="B121" s="204">
        <v>45000042</v>
      </c>
      <c r="C121" s="204" t="s">
        <v>464</v>
      </c>
      <c r="D121" s="212">
        <f>VLOOKUP($B121,Taul1!$A$12:$F$391,3,FALSE)</f>
        <v>2853.22</v>
      </c>
      <c r="E121" s="212">
        <f>VLOOKUP($B121,Taul1!$A$12:$F$391,4,FALSE)</f>
        <v>0</v>
      </c>
      <c r="F121" s="212">
        <f>VLOOKUP($B121,Taul1!$A$12:$F$391,5,FALSE)</f>
        <v>0</v>
      </c>
      <c r="G121" s="212">
        <f>VLOOKUP($B121,Taul1!$A$12:$F$391,6,FALSE)</f>
        <v>0</v>
      </c>
      <c r="M121" s="212"/>
      <c r="N121" s="212"/>
    </row>
    <row r="122" spans="1:19" x14ac:dyDescent="0.25">
      <c r="A122" s="204" t="s">
        <v>461</v>
      </c>
      <c r="B122" s="204">
        <v>45000044</v>
      </c>
      <c r="C122" s="204" t="s">
        <v>465</v>
      </c>
      <c r="D122" s="212">
        <f>VLOOKUP($B122,Taul1!$A$12:$F$391,3,FALSE)</f>
        <v>2680.01</v>
      </c>
      <c r="E122" s="212">
        <f>VLOOKUP($B122,Taul1!$A$12:$F$391,4,FALSE)</f>
        <v>0</v>
      </c>
      <c r="F122" s="212">
        <f>VLOOKUP($B122,Taul1!$A$12:$F$391,5,FALSE)</f>
        <v>0</v>
      </c>
      <c r="G122" s="212">
        <f>VLOOKUP($B122,Taul1!$A$12:$F$391,6,FALSE)</f>
        <v>0</v>
      </c>
      <c r="I122" s="212"/>
      <c r="J122" s="212"/>
      <c r="K122" s="212"/>
      <c r="L122" s="212"/>
      <c r="M122" s="212"/>
      <c r="N122" s="212"/>
    </row>
    <row r="123" spans="1:19" x14ac:dyDescent="0.25">
      <c r="D123" s="212"/>
      <c r="E123" s="212"/>
      <c r="F123" s="212"/>
      <c r="G123" s="212"/>
      <c r="I123" s="212"/>
      <c r="J123" s="212"/>
      <c r="K123" s="212"/>
      <c r="L123" s="212"/>
      <c r="M123" s="212"/>
      <c r="N123" s="212"/>
    </row>
    <row r="124" spans="1:19" x14ac:dyDescent="0.25">
      <c r="D124" s="212"/>
      <c r="E124" s="212"/>
      <c r="F124" s="212"/>
      <c r="G124" s="212"/>
      <c r="I124" s="212"/>
      <c r="J124" s="212"/>
      <c r="K124" s="212"/>
      <c r="L124" s="212"/>
      <c r="M124" s="212"/>
      <c r="N124" s="212"/>
      <c r="R124" s="212"/>
    </row>
    <row r="125" spans="1:19" s="212" customFormat="1" x14ac:dyDescent="0.25">
      <c r="A125" s="204"/>
      <c r="B125" s="204"/>
      <c r="C125" s="204"/>
      <c r="D125" s="204"/>
      <c r="E125" s="204"/>
      <c r="F125" s="204"/>
      <c r="G125" s="204"/>
      <c r="Q125" s="204"/>
      <c r="S125" s="204"/>
    </row>
    <row r="126" spans="1:19" s="212" customFormat="1" x14ac:dyDescent="0.25">
      <c r="A126" s="205" t="s">
        <v>362</v>
      </c>
      <c r="B126" s="204"/>
      <c r="C126" s="204"/>
      <c r="D126" s="204"/>
      <c r="E126" s="204"/>
      <c r="F126" s="204"/>
      <c r="G126" s="204"/>
      <c r="Q126" s="204"/>
      <c r="R126" s="204"/>
      <c r="S126" s="204"/>
    </row>
    <row r="127" spans="1:19" x14ac:dyDescent="0.25">
      <c r="D127" s="204" t="s">
        <v>169</v>
      </c>
      <c r="E127" s="204" t="s">
        <v>169</v>
      </c>
      <c r="F127" s="204" t="s">
        <v>169</v>
      </c>
      <c r="G127" s="204" t="s">
        <v>169</v>
      </c>
      <c r="H127" s="204" t="s">
        <v>169</v>
      </c>
      <c r="I127" s="204" t="s">
        <v>169</v>
      </c>
      <c r="J127" s="204" t="s">
        <v>170</v>
      </c>
      <c r="K127" s="204" t="s">
        <v>170</v>
      </c>
      <c r="L127" s="204" t="s">
        <v>170</v>
      </c>
      <c r="M127" s="204" t="s">
        <v>170</v>
      </c>
      <c r="N127" s="204" t="s">
        <v>170</v>
      </c>
      <c r="O127" s="204" t="s">
        <v>170</v>
      </c>
    </row>
    <row r="128" spans="1:19" x14ac:dyDescent="0.25">
      <c r="D128" s="212" t="s">
        <v>159</v>
      </c>
      <c r="E128" s="212" t="s">
        <v>335</v>
      </c>
      <c r="F128" s="212" t="s">
        <v>334</v>
      </c>
      <c r="G128" s="212" t="s">
        <v>160</v>
      </c>
      <c r="H128" s="212" t="s">
        <v>161</v>
      </c>
      <c r="I128" s="212" t="s">
        <v>336</v>
      </c>
      <c r="J128" s="212" t="s">
        <v>159</v>
      </c>
      <c r="K128" s="212" t="s">
        <v>335</v>
      </c>
      <c r="L128" s="212" t="s">
        <v>334</v>
      </c>
      <c r="M128" s="212" t="s">
        <v>160</v>
      </c>
      <c r="N128" s="212" t="s">
        <v>161</v>
      </c>
      <c r="O128" s="212" t="s">
        <v>336</v>
      </c>
    </row>
    <row r="129" spans="1:15" x14ac:dyDescent="0.25">
      <c r="A129" s="204" t="s">
        <v>361</v>
      </c>
      <c r="B129" s="204">
        <v>41103003</v>
      </c>
      <c r="C129" s="204" t="s">
        <v>426</v>
      </c>
      <c r="D129" s="212">
        <f>Taul1!$C150</f>
        <v>3742.6</v>
      </c>
      <c r="E129" s="212">
        <f>Taul1!$C151</f>
        <v>3949.61</v>
      </c>
      <c r="F129" s="212">
        <f>Taul1!$C152</f>
        <v>4095.89</v>
      </c>
      <c r="G129" s="212">
        <f>Taul1!$C153</f>
        <v>4324.1099999999997</v>
      </c>
      <c r="H129" s="212">
        <f>Taul1!$C154</f>
        <v>4566.0200000000004</v>
      </c>
      <c r="I129" s="212">
        <f>Taul1!$C155</f>
        <v>4822.47</v>
      </c>
      <c r="J129" s="206">
        <f>Taul1!$E150</f>
        <v>3707.05</v>
      </c>
      <c r="K129" s="206">
        <f>Taul1!$E151</f>
        <v>3912.1</v>
      </c>
      <c r="L129" s="206">
        <f>Taul1!$E152</f>
        <v>4057.03</v>
      </c>
      <c r="M129" s="206">
        <f>Taul1!$E153</f>
        <v>4283.07</v>
      </c>
      <c r="N129" s="206">
        <f>Taul1!$E154</f>
        <v>4522.7</v>
      </c>
      <c r="O129" s="206">
        <f>Taul1!$E155</f>
        <v>4776.68</v>
      </c>
    </row>
    <row r="130" spans="1:15" x14ac:dyDescent="0.25">
      <c r="A130" s="204" t="s">
        <v>361</v>
      </c>
      <c r="B130" s="204">
        <v>41103004</v>
      </c>
      <c r="C130" s="204" t="s">
        <v>192</v>
      </c>
      <c r="D130" s="212">
        <f>Taul1!$C157</f>
        <v>3429.14</v>
      </c>
      <c r="E130" s="212">
        <f>Taul1!$C158</f>
        <v>3497.71</v>
      </c>
      <c r="F130" s="212">
        <f>Taul1!$C159</f>
        <v>3602.64</v>
      </c>
      <c r="G130" s="212">
        <f>Taul1!$C160</f>
        <v>3782.76</v>
      </c>
      <c r="H130" s="212">
        <f>Taul1!$C161</f>
        <v>4083.74</v>
      </c>
      <c r="I130" s="212">
        <f>Taul1!$C162</f>
        <v>4247.09</v>
      </c>
      <c r="J130" s="206">
        <f>Taul1!$E157</f>
        <v>3396.1</v>
      </c>
      <c r="K130" s="206">
        <f>Taul1!$E158</f>
        <v>3464.01</v>
      </c>
      <c r="L130" s="206">
        <f>Taul1!$E159</f>
        <v>3567.94</v>
      </c>
      <c r="M130" s="206">
        <f>Taul1!$E160</f>
        <v>3746.37</v>
      </c>
      <c r="N130" s="206">
        <f>Taul1!$E161</f>
        <v>4044.41</v>
      </c>
      <c r="O130" s="206">
        <f>Taul1!$E162</f>
        <v>4206.1899999999996</v>
      </c>
    </row>
    <row r="131" spans="1:15" x14ac:dyDescent="0.25">
      <c r="A131" s="204" t="s">
        <v>361</v>
      </c>
      <c r="B131" s="204">
        <v>41104001</v>
      </c>
      <c r="C131" s="204" t="s">
        <v>427</v>
      </c>
      <c r="D131" s="212">
        <f>Taul1!$C165</f>
        <v>3742.6</v>
      </c>
      <c r="E131" s="212">
        <f>Taul1!$C166</f>
        <v>3949.61</v>
      </c>
      <c r="F131" s="212">
        <f>Taul1!$C167</f>
        <v>4095.89</v>
      </c>
      <c r="G131" s="212">
        <f>Taul1!$C168</f>
        <v>4324.1099999999997</v>
      </c>
      <c r="H131" s="212">
        <f>Taul1!$C169</f>
        <v>4566.0200000000004</v>
      </c>
      <c r="I131" s="212">
        <f>Taul1!$C170</f>
        <v>4822.47</v>
      </c>
      <c r="J131" s="206">
        <f>Taul1!$E165</f>
        <v>3707.05</v>
      </c>
      <c r="K131" s="206">
        <f>Taul1!$E166</f>
        <v>3912.1</v>
      </c>
      <c r="L131" s="206">
        <f>Taul1!$E167</f>
        <v>4057.03</v>
      </c>
      <c r="M131" s="206">
        <f>Taul1!$E168</f>
        <v>4283.07</v>
      </c>
      <c r="N131" s="206">
        <f>Taul1!$E169</f>
        <v>4522.7</v>
      </c>
      <c r="O131" s="206">
        <f>Taul1!$E170</f>
        <v>4776.68</v>
      </c>
    </row>
    <row r="132" spans="1:15" x14ac:dyDescent="0.25">
      <c r="A132" s="204" t="s">
        <v>361</v>
      </c>
      <c r="B132" s="204">
        <v>41107001</v>
      </c>
      <c r="C132" s="204" t="s">
        <v>428</v>
      </c>
      <c r="D132" s="212">
        <f>Taul1!$C165</f>
        <v>3742.6</v>
      </c>
      <c r="E132" s="212">
        <f>Taul1!$C166</f>
        <v>3949.61</v>
      </c>
      <c r="F132" s="212">
        <f>Taul1!$C167</f>
        <v>4095.89</v>
      </c>
      <c r="G132" s="212">
        <f>Taul1!$C168</f>
        <v>4324.1099999999997</v>
      </c>
      <c r="H132" s="212">
        <f>Taul1!$C169</f>
        <v>4566.0200000000004</v>
      </c>
      <c r="I132" s="212">
        <f>Taul1!$C170</f>
        <v>4822.47</v>
      </c>
      <c r="J132" s="206">
        <f>Taul1!$E165</f>
        <v>3707.05</v>
      </c>
      <c r="K132" s="206">
        <f>Taul1!$E166</f>
        <v>3912.1</v>
      </c>
      <c r="L132" s="206">
        <f>Taul1!$E167</f>
        <v>4057.03</v>
      </c>
      <c r="M132" s="206">
        <f>Taul1!$E168</f>
        <v>4283.07</v>
      </c>
      <c r="N132" s="206">
        <f>Taul1!$E169</f>
        <v>4522.7</v>
      </c>
      <c r="O132" s="206">
        <f>Taul1!$E170</f>
        <v>4776.68</v>
      </c>
    </row>
    <row r="133" spans="1:15" x14ac:dyDescent="0.25">
      <c r="A133" s="212" t="s">
        <v>361</v>
      </c>
      <c r="B133" s="213">
        <v>41104002</v>
      </c>
      <c r="C133" s="212" t="s">
        <v>429</v>
      </c>
      <c r="D133" s="212">
        <f>Taul1!$C173</f>
        <v>3309.6</v>
      </c>
      <c r="E133" s="212">
        <f>Taul1!$C174</f>
        <v>3492.67</v>
      </c>
      <c r="F133" s="212">
        <f>Taul1!$C175</f>
        <v>3622.05</v>
      </c>
      <c r="G133" s="212">
        <f>Taul1!$C176</f>
        <v>3823.86</v>
      </c>
      <c r="H133" s="212">
        <f>Taul1!$C177</f>
        <v>4037.78</v>
      </c>
      <c r="I133" s="212">
        <f>Taul1!$C178</f>
        <v>4264.54</v>
      </c>
      <c r="J133" s="206">
        <f>Taul1!$E173</f>
        <v>3278.19</v>
      </c>
      <c r="K133" s="206">
        <f>Taul1!$E174</f>
        <v>3459.53</v>
      </c>
      <c r="L133" s="206">
        <f>Taul1!$E175</f>
        <v>3587.67</v>
      </c>
      <c r="M133" s="206">
        <f>Taul1!$E176</f>
        <v>3787.56</v>
      </c>
      <c r="N133" s="206">
        <f>Taul1!$E177</f>
        <v>3999.47</v>
      </c>
      <c r="O133" s="206">
        <f>Taul1!$E178</f>
        <v>4224.07</v>
      </c>
    </row>
    <row r="134" spans="1:15" x14ac:dyDescent="0.25">
      <c r="A134" s="212" t="s">
        <v>361</v>
      </c>
      <c r="B134" s="213">
        <v>41107002</v>
      </c>
      <c r="C134" s="212" t="s">
        <v>430</v>
      </c>
      <c r="D134" s="212">
        <f>Taul1!$C173</f>
        <v>3309.6</v>
      </c>
      <c r="E134" s="212">
        <f>Taul1!$C174</f>
        <v>3492.67</v>
      </c>
      <c r="F134" s="212">
        <f>Taul1!$C175</f>
        <v>3622.05</v>
      </c>
      <c r="G134" s="212">
        <f>Taul1!$C176</f>
        <v>3823.86</v>
      </c>
      <c r="H134" s="212">
        <f>Taul1!$C177</f>
        <v>4037.78</v>
      </c>
      <c r="I134" s="212">
        <f>Taul1!$C178</f>
        <v>4264.54</v>
      </c>
      <c r="J134" s="206">
        <f>Taul1!$E173</f>
        <v>3278.19</v>
      </c>
      <c r="K134" s="206">
        <f>Taul1!$E174</f>
        <v>3459.53</v>
      </c>
      <c r="L134" s="206">
        <f>Taul1!$E175</f>
        <v>3587.67</v>
      </c>
      <c r="M134" s="206">
        <f>Taul1!$E176</f>
        <v>3787.56</v>
      </c>
      <c r="N134" s="206">
        <f>Taul1!$E177</f>
        <v>3999.47</v>
      </c>
      <c r="O134" s="206">
        <f>Taul1!$E178</f>
        <v>4224.07</v>
      </c>
    </row>
    <row r="135" spans="1:15" x14ac:dyDescent="0.25">
      <c r="A135" s="204" t="s">
        <v>361</v>
      </c>
      <c r="B135" s="204">
        <v>41104003</v>
      </c>
      <c r="C135" s="204" t="s">
        <v>431</v>
      </c>
      <c r="D135" s="212">
        <f>Taul1!$C181</f>
        <v>3043.24</v>
      </c>
      <c r="E135" s="212">
        <f>Taul1!$C182</f>
        <v>3211.58</v>
      </c>
      <c r="F135" s="212">
        <f>Taul1!$C183</f>
        <v>3330.53</v>
      </c>
      <c r="G135" s="212">
        <f>Taul1!$C184</f>
        <v>3516.12</v>
      </c>
      <c r="H135" s="212">
        <f>Taul1!$C185</f>
        <v>3712.83</v>
      </c>
      <c r="I135" s="212">
        <f>Taul1!$C186</f>
        <v>3921.34</v>
      </c>
      <c r="J135" s="206">
        <f>Taul1!$E181</f>
        <v>3014.41</v>
      </c>
      <c r="K135" s="206">
        <f>Taul1!$E182</f>
        <v>3181.16</v>
      </c>
      <c r="L135" s="206">
        <f>Taul1!$E183</f>
        <v>3298.98</v>
      </c>
      <c r="M135" s="206">
        <f>Taul1!$E184</f>
        <v>3482.82</v>
      </c>
      <c r="N135" s="206">
        <f>Taul1!$E185</f>
        <v>3677.66</v>
      </c>
      <c r="O135" s="206">
        <f>Taul1!$E186</f>
        <v>3884.19</v>
      </c>
    </row>
    <row r="136" spans="1:15" x14ac:dyDescent="0.25">
      <c r="A136" s="204" t="s">
        <v>361</v>
      </c>
      <c r="B136" s="204">
        <v>41107003</v>
      </c>
      <c r="C136" s="204" t="s">
        <v>432</v>
      </c>
      <c r="D136" s="212">
        <f>Taul1!$C181</f>
        <v>3043.24</v>
      </c>
      <c r="E136" s="212">
        <f>Taul1!$C182</f>
        <v>3211.58</v>
      </c>
      <c r="F136" s="212">
        <f>Taul1!$C183</f>
        <v>3330.53</v>
      </c>
      <c r="G136" s="212">
        <f>Taul1!$C184</f>
        <v>3516.12</v>
      </c>
      <c r="H136" s="212">
        <f>Taul1!$C185</f>
        <v>3712.83</v>
      </c>
      <c r="I136" s="212">
        <f>Taul1!$C186</f>
        <v>3921.34</v>
      </c>
      <c r="J136" s="206">
        <f>Taul1!$E181</f>
        <v>3014.41</v>
      </c>
      <c r="K136" s="206">
        <f>Taul1!$E182</f>
        <v>3181.16</v>
      </c>
      <c r="L136" s="206">
        <f>Taul1!$E183</f>
        <v>3298.98</v>
      </c>
      <c r="M136" s="206">
        <f>Taul1!$E184</f>
        <v>3482.82</v>
      </c>
      <c r="N136" s="206">
        <f>Taul1!$E185</f>
        <v>3677.66</v>
      </c>
      <c r="O136" s="206">
        <f>Taul1!$E186</f>
        <v>3884.19</v>
      </c>
    </row>
    <row r="137" spans="1:15" x14ac:dyDescent="0.25">
      <c r="A137" s="204" t="s">
        <v>361</v>
      </c>
      <c r="B137" s="204">
        <v>41104004</v>
      </c>
      <c r="C137" s="204" t="s">
        <v>433</v>
      </c>
      <c r="D137" s="212">
        <f>Taul1!$C189</f>
        <v>3037.39</v>
      </c>
      <c r="E137" s="212">
        <f>Taul1!$C190</f>
        <v>3205.4</v>
      </c>
      <c r="F137" s="212">
        <f>Taul1!$C191</f>
        <v>3324.14</v>
      </c>
      <c r="G137" s="212">
        <f>Taul1!$C192</f>
        <v>3509.35</v>
      </c>
      <c r="H137" s="212">
        <f>Taul1!$C193</f>
        <v>3705.68</v>
      </c>
      <c r="I137" s="212">
        <f>Taul1!$C194</f>
        <v>3913.78</v>
      </c>
      <c r="J137" s="206">
        <f>Taul1!$E189</f>
        <v>3008.51</v>
      </c>
      <c r="K137" s="206">
        <f>Taul1!$E190</f>
        <v>3174.96</v>
      </c>
      <c r="L137" s="206">
        <f>Taul1!$E191</f>
        <v>3292.56</v>
      </c>
      <c r="M137" s="206">
        <f>Taul1!$E192</f>
        <v>3476.02</v>
      </c>
      <c r="N137" s="206">
        <f>Taul1!$E193</f>
        <v>3670.47</v>
      </c>
      <c r="O137" s="206">
        <f>Taul1!$E194</f>
        <v>3876.6</v>
      </c>
    </row>
    <row r="138" spans="1:15" x14ac:dyDescent="0.25">
      <c r="A138" s="204" t="s">
        <v>361</v>
      </c>
      <c r="B138" s="204">
        <v>41107004</v>
      </c>
      <c r="C138" s="204" t="s">
        <v>434</v>
      </c>
      <c r="D138" s="212">
        <f>Taul1!$C189</f>
        <v>3037.39</v>
      </c>
      <c r="E138" s="212">
        <f>Taul1!$C190</f>
        <v>3205.4</v>
      </c>
      <c r="F138" s="212">
        <f>Taul1!$C191</f>
        <v>3324.14</v>
      </c>
      <c r="G138" s="212">
        <f>Taul1!$C192</f>
        <v>3509.35</v>
      </c>
      <c r="H138" s="212">
        <f>Taul1!$C193</f>
        <v>3705.68</v>
      </c>
      <c r="I138" s="212">
        <f>Taul1!$C194</f>
        <v>3913.78</v>
      </c>
      <c r="J138" s="206">
        <f>Taul1!$E189</f>
        <v>3008.51</v>
      </c>
      <c r="K138" s="206">
        <f>Taul1!$E190</f>
        <v>3174.96</v>
      </c>
      <c r="L138" s="206">
        <f>Taul1!$E191</f>
        <v>3292.56</v>
      </c>
      <c r="M138" s="206">
        <f>Taul1!$E192</f>
        <v>3476.02</v>
      </c>
      <c r="N138" s="206">
        <f>Taul1!$E193</f>
        <v>3670.47</v>
      </c>
      <c r="O138" s="206">
        <f>Taul1!$E194</f>
        <v>3876.6</v>
      </c>
    </row>
    <row r="140" spans="1:15" x14ac:dyDescent="0.25">
      <c r="A140" s="205" t="s">
        <v>199</v>
      </c>
    </row>
    <row r="141" spans="1:15" x14ac:dyDescent="0.25">
      <c r="A141" s="205"/>
    </row>
    <row r="142" spans="1:15" x14ac:dyDescent="0.25">
      <c r="A142" s="205" t="s">
        <v>200</v>
      </c>
    </row>
    <row r="144" spans="1:15" x14ac:dyDescent="0.25">
      <c r="A144" s="204" t="s">
        <v>193</v>
      </c>
      <c r="B144" s="204">
        <v>40807029</v>
      </c>
      <c r="C144" s="204" t="s">
        <v>230</v>
      </c>
      <c r="D144" s="212">
        <f>Taul1!C217</f>
        <v>30.74</v>
      </c>
    </row>
    <row r="145" spans="1:5" x14ac:dyDescent="0.25">
      <c r="A145" s="204" t="s">
        <v>193</v>
      </c>
      <c r="B145" s="204">
        <v>40807030</v>
      </c>
      <c r="C145" s="204" t="s">
        <v>231</v>
      </c>
      <c r="D145" s="212">
        <f>Taul1!C218</f>
        <v>30.16</v>
      </c>
    </row>
    <row r="146" spans="1:5" x14ac:dyDescent="0.25">
      <c r="A146" s="204" t="s">
        <v>193</v>
      </c>
      <c r="B146" s="204">
        <v>40807031</v>
      </c>
      <c r="C146" s="204" t="s">
        <v>201</v>
      </c>
      <c r="D146" s="212">
        <f>Taul1!C219</f>
        <v>28.25</v>
      </c>
    </row>
    <row r="148" spans="1:5" x14ac:dyDescent="0.25">
      <c r="A148" s="205" t="s">
        <v>202</v>
      </c>
    </row>
    <row r="149" spans="1:5" x14ac:dyDescent="0.25">
      <c r="D149" s="204" t="s">
        <v>162</v>
      </c>
      <c r="E149" s="204" t="s">
        <v>163</v>
      </c>
    </row>
    <row r="150" spans="1:5" x14ac:dyDescent="0.25">
      <c r="A150" s="204" t="s">
        <v>194</v>
      </c>
      <c r="B150" s="204">
        <v>40507040</v>
      </c>
      <c r="C150" s="204" t="s">
        <v>195</v>
      </c>
      <c r="D150" s="206">
        <f>Taul1!C229</f>
        <v>27.01</v>
      </c>
      <c r="E150" s="206">
        <f>Taul1!D229</f>
        <v>34.61</v>
      </c>
    </row>
    <row r="153" spans="1:5" x14ac:dyDescent="0.25">
      <c r="A153" s="205" t="s">
        <v>203</v>
      </c>
    </row>
    <row r="154" spans="1:5" x14ac:dyDescent="0.25">
      <c r="D154" s="204" t="s">
        <v>162</v>
      </c>
      <c r="E154" s="204" t="s">
        <v>163</v>
      </c>
    </row>
    <row r="155" spans="1:5" x14ac:dyDescent="0.25">
      <c r="A155" s="204" t="s">
        <v>196</v>
      </c>
      <c r="B155" s="204">
        <v>40607033</v>
      </c>
      <c r="C155" s="204" t="s">
        <v>197</v>
      </c>
      <c r="D155" s="206">
        <f>Taul1!C241</f>
        <v>27.51</v>
      </c>
      <c r="E155" s="206">
        <f>Taul1!D241</f>
        <v>31.56</v>
      </c>
    </row>
    <row r="158" spans="1:5" x14ac:dyDescent="0.25">
      <c r="A158" s="205" t="s">
        <v>204</v>
      </c>
    </row>
    <row r="159" spans="1:5" x14ac:dyDescent="0.25">
      <c r="D159" s="204" t="s">
        <v>162</v>
      </c>
      <c r="E159" s="204" t="s">
        <v>163</v>
      </c>
    </row>
    <row r="160" spans="1:5" x14ac:dyDescent="0.25">
      <c r="A160" s="204" t="s">
        <v>198</v>
      </c>
      <c r="B160" s="204">
        <v>40707033</v>
      </c>
      <c r="C160" s="204" t="s">
        <v>229</v>
      </c>
      <c r="D160" s="206">
        <f>Taul1!C254</f>
        <v>27.51</v>
      </c>
      <c r="E160" s="206">
        <f>Taul1!D254</f>
        <v>31.56</v>
      </c>
    </row>
  </sheetData>
  <phoneticPr fontId="4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ul7"/>
  <dimension ref="A1:R703"/>
  <sheetViews>
    <sheetView topLeftCell="A17" workbookViewId="0">
      <selection activeCell="A199" sqref="A1:XFD1048576"/>
    </sheetView>
  </sheetViews>
  <sheetFormatPr defaultColWidth="9.109375" defaultRowHeight="14.4" x14ac:dyDescent="0.3"/>
  <cols>
    <col min="1" max="1" width="12" style="225" customWidth="1"/>
    <col min="2" max="2" width="120.5546875" style="221" bestFit="1" customWidth="1"/>
    <col min="3" max="3" width="10.44140625" style="204" bestFit="1" customWidth="1"/>
    <col min="4" max="4" width="8.6640625" style="204" customWidth="1"/>
    <col min="5" max="5" width="10" style="204" customWidth="1"/>
    <col min="6" max="6" width="8.6640625" style="204" customWidth="1"/>
    <col min="7" max="7" width="3.33203125" style="204" customWidth="1"/>
    <col min="8" max="8" width="5.6640625" style="204" customWidth="1"/>
    <col min="9" max="9" width="8.6640625" style="204" customWidth="1"/>
    <col min="10" max="16384" width="9.109375" style="215"/>
  </cols>
  <sheetData>
    <row r="1" spans="1:17" ht="15.6" customHeight="1" x14ac:dyDescent="0.3">
      <c r="A1" s="220" t="s">
        <v>590</v>
      </c>
      <c r="C1" s="3"/>
      <c r="E1" s="204" t="s">
        <v>591</v>
      </c>
      <c r="I1" s="212">
        <v>1.5</v>
      </c>
    </row>
    <row r="2" spans="1:17" ht="15.6" customHeight="1" x14ac:dyDescent="0.3">
      <c r="A2" s="220"/>
      <c r="C2" s="3"/>
      <c r="E2" s="204" t="s">
        <v>592</v>
      </c>
      <c r="G2" s="222"/>
      <c r="I2" s="212">
        <v>0.59</v>
      </c>
    </row>
    <row r="3" spans="1:17" ht="15.6" customHeight="1" x14ac:dyDescent="0.3">
      <c r="A3" s="220" t="s">
        <v>509</v>
      </c>
      <c r="C3" s="7"/>
      <c r="D3" s="223"/>
      <c r="F3" s="222"/>
      <c r="G3" s="205"/>
      <c r="H3" s="223"/>
      <c r="I3" s="224" t="s">
        <v>510</v>
      </c>
    </row>
    <row r="4" spans="1:17" ht="15.6" customHeight="1" x14ac:dyDescent="0.3">
      <c r="C4" s="6"/>
      <c r="I4" s="224" t="s">
        <v>511</v>
      </c>
    </row>
    <row r="5" spans="1:17" ht="15.6" customHeight="1" x14ac:dyDescent="0.3">
      <c r="A5" s="220" t="s">
        <v>512</v>
      </c>
      <c r="B5" s="226"/>
      <c r="D5" s="227"/>
      <c r="E5" s="227"/>
      <c r="I5" s="228" t="s">
        <v>2</v>
      </c>
      <c r="J5" s="228" t="s">
        <v>3</v>
      </c>
    </row>
    <row r="6" spans="1:17" ht="15.6" customHeight="1" x14ac:dyDescent="0.3">
      <c r="B6" s="229" t="s">
        <v>513</v>
      </c>
      <c r="C6" s="206">
        <v>39.880000000000003</v>
      </c>
      <c r="D6" s="230" t="s">
        <v>514</v>
      </c>
      <c r="E6" s="227"/>
      <c r="H6" s="206"/>
      <c r="I6" s="206">
        <v>1.5</v>
      </c>
      <c r="J6" s="206"/>
      <c r="K6" s="231"/>
      <c r="L6" s="231"/>
      <c r="M6" s="231"/>
      <c r="N6" s="231"/>
      <c r="O6" s="231"/>
      <c r="P6" s="231"/>
      <c r="Q6" s="231"/>
    </row>
    <row r="7" spans="1:17" x14ac:dyDescent="0.3">
      <c r="D7" s="232"/>
      <c r="I7" s="206"/>
      <c r="J7" s="206"/>
      <c r="K7" s="231"/>
      <c r="L7" s="231"/>
      <c r="M7" s="231"/>
      <c r="N7" s="231"/>
      <c r="O7" s="231"/>
      <c r="P7" s="231"/>
      <c r="Q7" s="231"/>
    </row>
    <row r="8" spans="1:17" ht="15.6" customHeight="1" x14ac:dyDescent="0.3">
      <c r="A8" s="220" t="s">
        <v>515</v>
      </c>
      <c r="I8" s="206"/>
      <c r="J8" s="206"/>
      <c r="K8" s="231"/>
      <c r="L8" s="231"/>
      <c r="M8" s="231"/>
      <c r="N8" s="231"/>
      <c r="O8" s="231"/>
      <c r="P8" s="231"/>
      <c r="Q8" s="231"/>
    </row>
    <row r="9" spans="1:17" ht="15.6" customHeight="1" x14ac:dyDescent="0.3">
      <c r="A9" s="220" t="s">
        <v>516</v>
      </c>
      <c r="I9" s="206"/>
      <c r="J9" s="206"/>
      <c r="K9" s="231"/>
      <c r="L9" s="231"/>
      <c r="M9" s="231"/>
      <c r="N9" s="231"/>
      <c r="O9" s="231"/>
      <c r="P9" s="231"/>
      <c r="Q9" s="231"/>
    </row>
    <row r="10" spans="1:17" ht="15.6" customHeight="1" x14ac:dyDescent="0.3">
      <c r="A10" s="233" t="s">
        <v>180</v>
      </c>
      <c r="B10" s="234"/>
      <c r="C10" s="13" t="s">
        <v>162</v>
      </c>
      <c r="D10" s="235" t="s">
        <v>163</v>
      </c>
      <c r="E10" s="13" t="s">
        <v>162</v>
      </c>
      <c r="F10" s="235" t="s">
        <v>163</v>
      </c>
      <c r="G10" s="235"/>
      <c r="H10" s="236"/>
      <c r="I10" s="206"/>
      <c r="J10" s="206"/>
      <c r="K10" s="231"/>
      <c r="L10" s="231"/>
      <c r="M10" s="231"/>
      <c r="N10" s="231"/>
      <c r="O10" s="231"/>
      <c r="P10" s="231"/>
      <c r="Q10" s="231"/>
    </row>
    <row r="11" spans="1:17" ht="15.6" customHeight="1" x14ac:dyDescent="0.3">
      <c r="A11" s="225" t="s">
        <v>182</v>
      </c>
      <c r="C11" s="237" t="s">
        <v>2</v>
      </c>
      <c r="D11" s="237" t="s">
        <v>2</v>
      </c>
      <c r="E11" s="237" t="s">
        <v>3</v>
      </c>
      <c r="F11" s="237" t="s">
        <v>3</v>
      </c>
      <c r="G11" s="228"/>
      <c r="H11" s="228"/>
      <c r="I11" s="206"/>
      <c r="J11" s="206"/>
      <c r="K11" s="231"/>
      <c r="L11" s="231"/>
      <c r="M11" s="231"/>
      <c r="N11" s="231"/>
      <c r="O11" s="231"/>
      <c r="P11" s="231"/>
      <c r="Q11" s="231"/>
    </row>
    <row r="12" spans="1:17" ht="15.6" customHeight="1" x14ac:dyDescent="0.3">
      <c r="A12" s="238">
        <v>40301101</v>
      </c>
      <c r="B12" s="239" t="s">
        <v>364</v>
      </c>
      <c r="C12" s="206">
        <v>4092.18</v>
      </c>
      <c r="D12" s="206">
        <v>4394.8500000000004</v>
      </c>
      <c r="E12" s="206">
        <v>4053.04</v>
      </c>
      <c r="F12" s="206">
        <v>4352.76</v>
      </c>
      <c r="G12" s="207"/>
      <c r="H12" s="206"/>
      <c r="I12" s="206">
        <v>1.5</v>
      </c>
      <c r="J12" s="206">
        <v>1.5</v>
      </c>
      <c r="K12" s="231"/>
      <c r="L12" s="231"/>
      <c r="M12" s="231"/>
      <c r="N12" s="231"/>
      <c r="O12" s="231"/>
      <c r="P12" s="231"/>
      <c r="Q12" s="231"/>
    </row>
    <row r="13" spans="1:17" ht="15.6" customHeight="1" x14ac:dyDescent="0.3">
      <c r="A13" s="238">
        <v>40301201</v>
      </c>
      <c r="B13" s="239" t="s">
        <v>365</v>
      </c>
      <c r="C13" s="206">
        <v>4227.1499999999996</v>
      </c>
      <c r="D13" s="206">
        <v>4571.8599999999997</v>
      </c>
      <c r="E13" s="206">
        <v>4186.7</v>
      </c>
      <c r="F13" s="206">
        <v>4528.12</v>
      </c>
      <c r="G13" s="207"/>
      <c r="H13" s="206"/>
      <c r="I13" s="206">
        <v>1.5</v>
      </c>
      <c r="J13" s="206">
        <v>1.5</v>
      </c>
      <c r="K13" s="231"/>
      <c r="L13" s="231"/>
      <c r="M13" s="231"/>
      <c r="N13" s="231"/>
      <c r="O13" s="231"/>
      <c r="P13" s="231"/>
      <c r="Q13" s="231"/>
    </row>
    <row r="14" spans="1:17" ht="15.6" customHeight="1" x14ac:dyDescent="0.3">
      <c r="A14" s="238">
        <v>40301301</v>
      </c>
      <c r="B14" s="239" t="s">
        <v>366</v>
      </c>
      <c r="C14" s="206">
        <v>4394.8500000000004</v>
      </c>
      <c r="D14" s="206">
        <v>4770.6400000000003</v>
      </c>
      <c r="E14" s="206">
        <v>4352.76</v>
      </c>
      <c r="F14" s="206">
        <v>4725.04</v>
      </c>
      <c r="G14" s="207"/>
      <c r="H14" s="206"/>
      <c r="I14" s="206">
        <v>1.5</v>
      </c>
      <c r="J14" s="206">
        <v>1.5</v>
      </c>
      <c r="K14" s="231"/>
      <c r="L14" s="231"/>
      <c r="M14" s="231"/>
      <c r="N14" s="231"/>
      <c r="O14" s="231"/>
      <c r="P14" s="231"/>
      <c r="Q14" s="231"/>
    </row>
    <row r="15" spans="1:17" ht="15.6" customHeight="1" x14ac:dyDescent="0.3">
      <c r="A15" s="238">
        <v>40301401</v>
      </c>
      <c r="B15" s="239" t="s">
        <v>367</v>
      </c>
      <c r="C15" s="206">
        <v>4581.6400000000003</v>
      </c>
      <c r="D15" s="206"/>
      <c r="E15" s="206">
        <v>4537.7700000000004</v>
      </c>
      <c r="F15" s="206"/>
      <c r="G15" s="207"/>
      <c r="H15" s="206"/>
      <c r="I15" s="206">
        <v>1.5</v>
      </c>
      <c r="J15" s="206">
        <v>1.5</v>
      </c>
      <c r="K15" s="231"/>
      <c r="L15" s="231"/>
      <c r="M15" s="231"/>
      <c r="N15" s="231"/>
      <c r="O15" s="231"/>
      <c r="P15" s="231"/>
      <c r="Q15" s="231"/>
    </row>
    <row r="16" spans="1:17" ht="15.6" customHeight="1" x14ac:dyDescent="0.3">
      <c r="A16" s="238">
        <v>40301102</v>
      </c>
      <c r="B16" s="239" t="s">
        <v>368</v>
      </c>
      <c r="C16" s="206">
        <v>4227.1499999999996</v>
      </c>
      <c r="D16" s="206">
        <v>4571.8599999999997</v>
      </c>
      <c r="E16" s="206">
        <v>4186.7</v>
      </c>
      <c r="F16" s="206">
        <v>4528.12</v>
      </c>
      <c r="G16" s="207"/>
      <c r="H16" s="206"/>
      <c r="I16" s="206">
        <v>1.5</v>
      </c>
      <c r="J16" s="206">
        <v>1.5</v>
      </c>
      <c r="K16" s="231"/>
      <c r="L16" s="231"/>
      <c r="M16" s="231"/>
      <c r="N16" s="231"/>
      <c r="O16" s="231"/>
      <c r="P16" s="231"/>
      <c r="Q16" s="231"/>
    </row>
    <row r="17" spans="1:17" ht="15.6" customHeight="1" x14ac:dyDescent="0.3">
      <c r="A17" s="238">
        <v>40301202</v>
      </c>
      <c r="B17" s="239" t="s">
        <v>369</v>
      </c>
      <c r="C17" s="206">
        <v>4571.8599999999997</v>
      </c>
      <c r="D17" s="206">
        <v>4973.57</v>
      </c>
      <c r="E17" s="206">
        <v>4528.12</v>
      </c>
      <c r="F17" s="206">
        <v>4925.96</v>
      </c>
      <c r="G17" s="207"/>
      <c r="H17" s="206"/>
      <c r="I17" s="206">
        <v>1.5</v>
      </c>
      <c r="J17" s="206">
        <v>1.5</v>
      </c>
      <c r="K17" s="231"/>
      <c r="L17" s="231"/>
      <c r="M17" s="231"/>
      <c r="N17" s="231"/>
      <c r="O17" s="231"/>
      <c r="P17" s="231"/>
      <c r="Q17" s="231"/>
    </row>
    <row r="18" spans="1:17" ht="15.6" customHeight="1" x14ac:dyDescent="0.3">
      <c r="A18" s="238">
        <v>40301302</v>
      </c>
      <c r="B18" s="239" t="s">
        <v>370</v>
      </c>
      <c r="C18" s="206">
        <v>4770.6400000000003</v>
      </c>
      <c r="D18" s="206">
        <v>5180.1899999999996</v>
      </c>
      <c r="E18" s="206">
        <v>4725.04</v>
      </c>
      <c r="F18" s="206">
        <v>5130.63</v>
      </c>
      <c r="G18" s="207"/>
      <c r="H18" s="206"/>
      <c r="I18" s="206">
        <v>1.5</v>
      </c>
      <c r="J18" s="206">
        <v>1.5</v>
      </c>
      <c r="K18" s="231"/>
      <c r="L18" s="231"/>
      <c r="M18" s="231"/>
      <c r="N18" s="231"/>
      <c r="O18" s="231"/>
      <c r="P18" s="231"/>
      <c r="Q18" s="231"/>
    </row>
    <row r="19" spans="1:17" ht="15.6" customHeight="1" x14ac:dyDescent="0.3">
      <c r="A19" s="238">
        <v>40301402</v>
      </c>
      <c r="B19" s="239" t="s">
        <v>371</v>
      </c>
      <c r="C19" s="206">
        <v>4973.57</v>
      </c>
      <c r="D19" s="206"/>
      <c r="E19" s="206">
        <v>4925.96</v>
      </c>
      <c r="F19" s="206"/>
      <c r="G19" s="207"/>
      <c r="H19" s="206"/>
      <c r="I19" s="206">
        <v>1.5</v>
      </c>
      <c r="J19" s="206">
        <v>1.5</v>
      </c>
      <c r="K19" s="231"/>
      <c r="L19" s="231"/>
      <c r="M19" s="231"/>
      <c r="N19" s="231"/>
      <c r="O19" s="231"/>
      <c r="P19" s="231"/>
      <c r="Q19" s="231"/>
    </row>
    <row r="20" spans="1:17" ht="15.6" customHeight="1" x14ac:dyDescent="0.3">
      <c r="A20" s="238">
        <v>40301502</v>
      </c>
      <c r="B20" s="239" t="s">
        <v>517</v>
      </c>
      <c r="C20" s="206">
        <v>5184.97</v>
      </c>
      <c r="D20" s="206"/>
      <c r="E20" s="206">
        <v>5135.34</v>
      </c>
      <c r="F20" s="206"/>
      <c r="G20" s="207"/>
      <c r="H20" s="206"/>
      <c r="I20" s="206">
        <v>1.5</v>
      </c>
      <c r="J20" s="206">
        <v>1.5</v>
      </c>
      <c r="K20" s="231"/>
      <c r="L20" s="231"/>
      <c r="M20" s="231"/>
      <c r="N20" s="231"/>
      <c r="O20" s="231"/>
      <c r="P20" s="231"/>
      <c r="Q20" s="231"/>
    </row>
    <row r="21" spans="1:17" ht="15.6" customHeight="1" x14ac:dyDescent="0.3">
      <c r="A21" s="238">
        <v>40301602</v>
      </c>
      <c r="B21" s="239" t="s">
        <v>593</v>
      </c>
      <c r="C21" s="206">
        <v>5434.68</v>
      </c>
      <c r="D21" s="206"/>
      <c r="E21" s="206">
        <v>5382.66</v>
      </c>
      <c r="F21" s="206"/>
      <c r="G21" s="207"/>
      <c r="H21" s="206"/>
      <c r="I21" s="206">
        <v>1.5</v>
      </c>
      <c r="J21" s="206">
        <v>1.5</v>
      </c>
      <c r="K21" s="231"/>
      <c r="L21" s="231"/>
      <c r="M21" s="231"/>
      <c r="N21" s="231"/>
      <c r="O21" s="231"/>
      <c r="P21" s="231"/>
      <c r="Q21" s="231"/>
    </row>
    <row r="22" spans="1:17" ht="15.6" customHeight="1" x14ac:dyDescent="0.3">
      <c r="A22" s="238">
        <v>40301103</v>
      </c>
      <c r="B22" s="240" t="s">
        <v>373</v>
      </c>
      <c r="C22" s="206">
        <v>4227.1499999999996</v>
      </c>
      <c r="D22" s="206">
        <v>4571.8599999999997</v>
      </c>
      <c r="E22" s="206">
        <v>4186.7</v>
      </c>
      <c r="F22" s="206">
        <v>4528.12</v>
      </c>
      <c r="G22" s="206"/>
      <c r="H22" s="206"/>
      <c r="I22" s="206">
        <v>1.5</v>
      </c>
      <c r="J22" s="206">
        <v>1.5</v>
      </c>
      <c r="K22" s="231"/>
      <c r="L22" s="231"/>
      <c r="M22" s="231"/>
      <c r="N22" s="231"/>
      <c r="O22" s="231"/>
      <c r="P22" s="231"/>
      <c r="Q22" s="231"/>
    </row>
    <row r="23" spans="1:17" ht="15.6" customHeight="1" x14ac:dyDescent="0.3">
      <c r="A23" s="238">
        <v>40301203</v>
      </c>
      <c r="B23" s="240" t="s">
        <v>374</v>
      </c>
      <c r="C23" s="206">
        <v>4394.8500000000004</v>
      </c>
      <c r="D23" s="206">
        <v>4770.6400000000003</v>
      </c>
      <c r="E23" s="206">
        <v>4352.76</v>
      </c>
      <c r="F23" s="206">
        <v>4725.04</v>
      </c>
      <c r="G23" s="206"/>
      <c r="H23" s="206"/>
      <c r="I23" s="206">
        <v>1.5</v>
      </c>
      <c r="J23" s="206">
        <v>1.5</v>
      </c>
      <c r="K23" s="231"/>
      <c r="L23" s="231"/>
      <c r="M23" s="231"/>
      <c r="N23" s="231"/>
      <c r="O23" s="231"/>
      <c r="P23" s="231"/>
      <c r="Q23" s="231"/>
    </row>
    <row r="24" spans="1:17" ht="15.6" customHeight="1" x14ac:dyDescent="0.3">
      <c r="A24" s="238">
        <v>40301303</v>
      </c>
      <c r="B24" s="240" t="s">
        <v>375</v>
      </c>
      <c r="C24" s="206">
        <v>4770.6400000000003</v>
      </c>
      <c r="D24" s="206">
        <v>5180.1899999999996</v>
      </c>
      <c r="E24" s="206">
        <v>4725.04</v>
      </c>
      <c r="F24" s="206">
        <v>5130.63</v>
      </c>
      <c r="G24" s="206"/>
      <c r="H24" s="206"/>
      <c r="I24" s="206">
        <v>1.5</v>
      </c>
      <c r="J24" s="206">
        <v>1.5</v>
      </c>
      <c r="K24" s="231"/>
      <c r="L24" s="231"/>
      <c r="M24" s="231"/>
      <c r="N24" s="231"/>
      <c r="O24" s="231"/>
      <c r="P24" s="231"/>
      <c r="Q24" s="231"/>
    </row>
    <row r="25" spans="1:17" ht="15.6" customHeight="1" x14ac:dyDescent="0.3">
      <c r="A25" s="238">
        <v>40301403</v>
      </c>
      <c r="B25" s="240" t="s">
        <v>376</v>
      </c>
      <c r="C25" s="206">
        <v>4973.57</v>
      </c>
      <c r="D25" s="206">
        <v>5419.25</v>
      </c>
      <c r="E25" s="206">
        <v>4925.96</v>
      </c>
      <c r="F25" s="206">
        <v>5367.4</v>
      </c>
      <c r="G25" s="206"/>
      <c r="H25" s="206"/>
      <c r="I25" s="206">
        <v>1.5</v>
      </c>
      <c r="J25" s="206">
        <v>1.5</v>
      </c>
      <c r="K25" s="231"/>
      <c r="L25" s="231"/>
      <c r="M25" s="231"/>
      <c r="N25" s="231"/>
      <c r="O25" s="231"/>
      <c r="P25" s="231"/>
      <c r="Q25" s="231"/>
    </row>
    <row r="26" spans="1:17" ht="15.6" customHeight="1" x14ac:dyDescent="0.3">
      <c r="A26" s="238">
        <v>40302000</v>
      </c>
      <c r="B26" s="240" t="s">
        <v>224</v>
      </c>
      <c r="C26" s="241"/>
      <c r="D26" s="241"/>
      <c r="E26" s="206"/>
      <c r="F26" s="206"/>
      <c r="H26" s="206"/>
      <c r="I26" s="206"/>
      <c r="J26" s="206"/>
      <c r="K26" s="231"/>
      <c r="L26" s="231"/>
      <c r="M26" s="231"/>
      <c r="N26" s="231"/>
      <c r="O26" s="231"/>
      <c r="P26" s="231"/>
      <c r="Q26" s="231"/>
    </row>
    <row r="27" spans="1:17" ht="15.6" customHeight="1" x14ac:dyDescent="0.3">
      <c r="A27" s="238">
        <v>40402000</v>
      </c>
      <c r="B27" s="240" t="s">
        <v>225</v>
      </c>
      <c r="C27" s="241"/>
      <c r="D27" s="241"/>
      <c r="E27" s="206"/>
      <c r="F27" s="206"/>
      <c r="H27" s="206"/>
      <c r="I27" s="206"/>
      <c r="J27" s="206"/>
      <c r="K27" s="231"/>
      <c r="L27" s="231"/>
      <c r="M27" s="231"/>
      <c r="N27" s="231"/>
      <c r="O27" s="231"/>
      <c r="P27" s="231"/>
      <c r="Q27" s="231"/>
    </row>
    <row r="28" spans="1:17" ht="15.6" customHeight="1" x14ac:dyDescent="0.3">
      <c r="A28" s="238">
        <v>40401005</v>
      </c>
      <c r="B28" s="240" t="s">
        <v>226</v>
      </c>
      <c r="C28" s="206">
        <v>4835.6899999999996</v>
      </c>
      <c r="D28" s="206">
        <v>6031.14</v>
      </c>
      <c r="E28" s="206">
        <v>4789.43</v>
      </c>
      <c r="F28" s="206">
        <v>5973.43</v>
      </c>
      <c r="G28" s="207"/>
      <c r="H28" s="206"/>
      <c r="I28" s="206">
        <v>1.5</v>
      </c>
      <c r="J28" s="206">
        <v>1.5</v>
      </c>
      <c r="K28" s="231"/>
      <c r="L28" s="231"/>
      <c r="M28" s="231"/>
      <c r="N28" s="231"/>
      <c r="O28" s="231"/>
      <c r="P28" s="231"/>
      <c r="Q28" s="231"/>
    </row>
    <row r="29" spans="1:17" ht="15.6" customHeight="1" x14ac:dyDescent="0.3">
      <c r="A29" s="238">
        <v>40401011</v>
      </c>
      <c r="B29" s="240" t="s">
        <v>227</v>
      </c>
      <c r="C29" s="206">
        <v>4835.6899999999996</v>
      </c>
      <c r="D29" s="206">
        <v>6031.14</v>
      </c>
      <c r="E29" s="206">
        <v>4789.43</v>
      </c>
      <c r="F29" s="206">
        <v>5973.43</v>
      </c>
      <c r="G29" s="207"/>
      <c r="H29" s="206"/>
      <c r="I29" s="206">
        <v>1.5</v>
      </c>
      <c r="J29" s="206">
        <v>1.5</v>
      </c>
      <c r="K29" s="231"/>
      <c r="L29" s="231"/>
      <c r="M29" s="231"/>
      <c r="N29" s="231"/>
      <c r="O29" s="231"/>
      <c r="P29" s="231"/>
      <c r="Q29" s="231"/>
    </row>
    <row r="30" spans="1:17" ht="15.6" customHeight="1" x14ac:dyDescent="0.3">
      <c r="A30" s="238">
        <v>40304066</v>
      </c>
      <c r="B30" s="240" t="s">
        <v>518</v>
      </c>
      <c r="C30" s="206">
        <v>3332.69</v>
      </c>
      <c r="D30" s="242"/>
      <c r="E30" s="206">
        <v>3300.95</v>
      </c>
      <c r="F30" s="242"/>
      <c r="G30" s="207"/>
      <c r="H30" s="206"/>
      <c r="I30" s="206">
        <v>1.5</v>
      </c>
      <c r="J30" s="206">
        <v>1.5</v>
      </c>
      <c r="K30" s="231"/>
      <c r="L30" s="231"/>
      <c r="M30" s="231"/>
      <c r="N30" s="231"/>
      <c r="O30" s="231"/>
      <c r="P30" s="231"/>
      <c r="Q30" s="231"/>
    </row>
    <row r="31" spans="1:17" ht="15.6" customHeight="1" x14ac:dyDescent="0.3">
      <c r="A31" s="238">
        <v>40304067</v>
      </c>
      <c r="B31" s="240" t="s">
        <v>377</v>
      </c>
      <c r="C31" s="206"/>
      <c r="D31" s="242"/>
      <c r="E31" s="206"/>
      <c r="F31" s="242"/>
      <c r="H31" s="207"/>
      <c r="I31" s="206"/>
      <c r="J31" s="206"/>
      <c r="K31" s="231"/>
      <c r="L31" s="231"/>
      <c r="M31" s="231"/>
      <c r="N31" s="231"/>
      <c r="O31" s="231"/>
      <c r="P31" s="231"/>
      <c r="Q31" s="231"/>
    </row>
    <row r="32" spans="1:17" ht="15.6" customHeight="1" x14ac:dyDescent="0.3">
      <c r="A32" s="238">
        <v>40404066</v>
      </c>
      <c r="B32" s="243" t="s">
        <v>347</v>
      </c>
      <c r="C32" s="206">
        <v>4175.8599999999997</v>
      </c>
      <c r="D32" s="242"/>
      <c r="E32" s="206">
        <v>4141.1499999999996</v>
      </c>
      <c r="F32" s="244"/>
      <c r="H32" s="207"/>
      <c r="I32" s="206">
        <v>1.5</v>
      </c>
      <c r="J32" s="206">
        <v>1.5</v>
      </c>
      <c r="K32" s="231"/>
      <c r="L32" s="231"/>
      <c r="M32" s="231"/>
      <c r="N32" s="231"/>
      <c r="O32" s="231"/>
      <c r="P32" s="231"/>
      <c r="Q32" s="231"/>
    </row>
    <row r="33" spans="1:17" ht="15.6" customHeight="1" x14ac:dyDescent="0.3">
      <c r="A33" s="238">
        <v>40404067</v>
      </c>
      <c r="B33" s="243" t="s">
        <v>348</v>
      </c>
      <c r="C33" s="206"/>
      <c r="D33" s="242"/>
      <c r="E33" s="206"/>
      <c r="H33" s="207"/>
      <c r="I33" s="206"/>
      <c r="J33" s="206"/>
      <c r="K33" s="231"/>
      <c r="L33" s="231"/>
      <c r="M33" s="231"/>
      <c r="N33" s="231"/>
      <c r="O33" s="231"/>
      <c r="P33" s="231"/>
      <c r="Q33" s="231"/>
    </row>
    <row r="34" spans="1:17" ht="15.6" customHeight="1" x14ac:dyDescent="0.3">
      <c r="A34" s="238">
        <v>40407066</v>
      </c>
      <c r="B34" s="243" t="s">
        <v>471</v>
      </c>
      <c r="C34" s="206">
        <v>4175.8599999999997</v>
      </c>
      <c r="D34" s="242"/>
      <c r="E34" s="206">
        <v>4141.1499999999996</v>
      </c>
      <c r="H34" s="207"/>
      <c r="I34" s="206">
        <v>1.5</v>
      </c>
      <c r="J34" s="206">
        <v>1.5</v>
      </c>
      <c r="K34" s="231"/>
      <c r="L34" s="231"/>
      <c r="M34" s="231"/>
      <c r="N34" s="231"/>
      <c r="O34" s="231"/>
      <c r="P34" s="231"/>
      <c r="Q34" s="231"/>
    </row>
    <row r="35" spans="1:17" ht="15.6" customHeight="1" x14ac:dyDescent="0.3">
      <c r="A35" s="238">
        <v>40407067</v>
      </c>
      <c r="B35" s="243" t="s">
        <v>472</v>
      </c>
      <c r="C35" s="206"/>
      <c r="D35" s="242"/>
      <c r="E35" s="206"/>
      <c r="H35" s="207"/>
      <c r="I35" s="206"/>
      <c r="J35" s="206"/>
      <c r="K35" s="231"/>
      <c r="L35" s="231"/>
      <c r="M35" s="231"/>
      <c r="N35" s="231"/>
      <c r="O35" s="231"/>
      <c r="P35" s="231"/>
      <c r="Q35" s="231"/>
    </row>
    <row r="36" spans="1:17" ht="15.6" customHeight="1" x14ac:dyDescent="0.3">
      <c r="A36" s="238">
        <v>40404076</v>
      </c>
      <c r="B36" s="243" t="s">
        <v>519</v>
      </c>
      <c r="C36" s="206">
        <v>4175.8599999999997</v>
      </c>
      <c r="D36" s="242"/>
      <c r="E36" s="206">
        <v>4141.1499999999996</v>
      </c>
      <c r="H36" s="207"/>
      <c r="I36" s="206">
        <v>1.5</v>
      </c>
      <c r="J36" s="206">
        <v>1.5</v>
      </c>
      <c r="K36" s="231"/>
      <c r="L36" s="231"/>
      <c r="M36" s="231"/>
      <c r="N36" s="231"/>
      <c r="O36" s="231"/>
      <c r="P36" s="231"/>
      <c r="Q36" s="231"/>
    </row>
    <row r="37" spans="1:17" ht="15.6" customHeight="1" x14ac:dyDescent="0.3">
      <c r="A37" s="238">
        <v>40404077</v>
      </c>
      <c r="B37" s="243" t="s">
        <v>456</v>
      </c>
      <c r="C37" s="206"/>
      <c r="D37" s="206"/>
      <c r="E37" s="206"/>
      <c r="H37" s="207"/>
      <c r="I37" s="206"/>
      <c r="J37" s="206"/>
      <c r="K37" s="231"/>
      <c r="L37" s="231"/>
      <c r="M37" s="231"/>
      <c r="N37" s="231"/>
      <c r="O37" s="231"/>
      <c r="P37" s="231"/>
      <c r="Q37" s="231"/>
    </row>
    <row r="38" spans="1:17" ht="15.6" customHeight="1" x14ac:dyDescent="0.3">
      <c r="A38" s="208">
        <v>40407076</v>
      </c>
      <c r="B38" s="243" t="s">
        <v>473</v>
      </c>
      <c r="C38" s="206">
        <v>4175.8599999999997</v>
      </c>
      <c r="D38" s="242"/>
      <c r="E38" s="206">
        <v>4141.1499999999996</v>
      </c>
      <c r="H38" s="207"/>
      <c r="I38" s="206">
        <v>1.5</v>
      </c>
      <c r="J38" s="206">
        <v>1.5</v>
      </c>
      <c r="K38" s="231"/>
      <c r="L38" s="231"/>
      <c r="M38" s="231"/>
      <c r="N38" s="231"/>
      <c r="O38" s="231"/>
      <c r="P38" s="231"/>
      <c r="Q38" s="231"/>
    </row>
    <row r="39" spans="1:17" ht="15.6" customHeight="1" x14ac:dyDescent="0.3">
      <c r="A39" s="208">
        <v>40407077</v>
      </c>
      <c r="B39" s="240" t="s">
        <v>474</v>
      </c>
      <c r="C39" s="206"/>
      <c r="D39" s="206"/>
      <c r="E39" s="206"/>
      <c r="H39" s="207"/>
      <c r="I39" s="206"/>
      <c r="J39" s="206"/>
      <c r="K39" s="231"/>
      <c r="L39" s="231"/>
      <c r="M39" s="231"/>
      <c r="N39" s="231"/>
      <c r="O39" s="231"/>
      <c r="P39" s="231"/>
      <c r="Q39" s="231"/>
    </row>
    <row r="40" spans="1:17" ht="15.6" customHeight="1" x14ac:dyDescent="0.3">
      <c r="A40" s="208"/>
      <c r="B40" s="214"/>
      <c r="H40" s="207"/>
      <c r="I40" s="206"/>
      <c r="J40" s="206"/>
      <c r="K40" s="231"/>
      <c r="L40" s="231"/>
      <c r="M40" s="231"/>
      <c r="N40" s="231"/>
      <c r="O40" s="231"/>
      <c r="P40" s="231"/>
      <c r="Q40" s="231"/>
    </row>
    <row r="41" spans="1:17" ht="15.6" customHeight="1" x14ac:dyDescent="0.3">
      <c r="A41" s="208" t="s">
        <v>512</v>
      </c>
      <c r="B41" s="214"/>
      <c r="C41" s="245" t="s">
        <v>520</v>
      </c>
      <c r="H41" s="207"/>
      <c r="I41" s="206"/>
      <c r="J41" s="206"/>
      <c r="K41" s="231"/>
      <c r="L41" s="231"/>
      <c r="M41" s="231"/>
      <c r="N41" s="231"/>
      <c r="O41" s="231"/>
      <c r="P41" s="231"/>
      <c r="Q41" s="231"/>
    </row>
    <row r="42" spans="1:17" ht="15.6" customHeight="1" x14ac:dyDescent="0.3">
      <c r="A42" s="246" t="s">
        <v>521</v>
      </c>
      <c r="B42" s="214"/>
      <c r="C42" s="206">
        <v>131.08000000000001</v>
      </c>
      <c r="H42" s="207"/>
      <c r="I42" s="206">
        <v>1.5</v>
      </c>
      <c r="J42" s="206">
        <v>1.5</v>
      </c>
      <c r="K42" s="231"/>
      <c r="L42" s="231"/>
      <c r="M42" s="231"/>
      <c r="N42" s="231"/>
      <c r="O42" s="231"/>
      <c r="P42" s="231"/>
      <c r="Q42" s="231"/>
    </row>
    <row r="43" spans="1:17" ht="15.6" customHeight="1" x14ac:dyDescent="0.3">
      <c r="A43" s="208"/>
      <c r="B43" s="214"/>
      <c r="H43" s="207"/>
      <c r="I43" s="206"/>
      <c r="J43" s="206"/>
      <c r="K43" s="231"/>
      <c r="L43" s="231"/>
      <c r="M43" s="231"/>
      <c r="N43" s="231"/>
      <c r="O43" s="231"/>
      <c r="P43" s="231"/>
      <c r="Q43" s="231"/>
    </row>
    <row r="44" spans="1:17" ht="69" x14ac:dyDescent="0.3">
      <c r="A44" s="247" t="s">
        <v>512</v>
      </c>
      <c r="B44" s="214"/>
      <c r="C44" s="248" t="s">
        <v>522</v>
      </c>
      <c r="D44" s="249"/>
      <c r="E44" s="248" t="s">
        <v>523</v>
      </c>
      <c r="I44" s="206"/>
      <c r="J44" s="206"/>
      <c r="K44" s="231"/>
      <c r="L44" s="231"/>
      <c r="M44" s="231"/>
      <c r="N44" s="231"/>
      <c r="O44" s="231"/>
      <c r="P44" s="231"/>
      <c r="Q44" s="231"/>
    </row>
    <row r="45" spans="1:17" ht="15.6" customHeight="1" x14ac:dyDescent="0.3">
      <c r="A45" s="246" t="s">
        <v>524</v>
      </c>
      <c r="B45" s="250"/>
      <c r="C45" s="251"/>
      <c r="D45" s="251"/>
      <c r="E45" s="206">
        <v>327.23</v>
      </c>
      <c r="F45" s="241"/>
      <c r="H45" s="207"/>
      <c r="I45" s="206"/>
      <c r="J45" s="206">
        <v>0</v>
      </c>
      <c r="K45" s="231"/>
      <c r="L45" s="231"/>
      <c r="M45" s="231"/>
      <c r="N45" s="231"/>
      <c r="O45" s="231"/>
      <c r="P45" s="231"/>
      <c r="Q45" s="231"/>
    </row>
    <row r="46" spans="1:17" ht="15.6" customHeight="1" x14ac:dyDescent="0.3">
      <c r="A46" s="246" t="s">
        <v>525</v>
      </c>
      <c r="B46" s="250"/>
      <c r="C46" s="206">
        <v>327.23</v>
      </c>
      <c r="D46" s="251"/>
      <c r="E46" s="206">
        <v>654.49</v>
      </c>
      <c r="F46" s="241"/>
      <c r="I46" s="206">
        <v>0</v>
      </c>
      <c r="J46" s="206">
        <v>0</v>
      </c>
      <c r="K46" s="231"/>
      <c r="L46" s="231"/>
      <c r="M46" s="231"/>
      <c r="N46" s="231"/>
      <c r="O46" s="231"/>
      <c r="P46" s="231"/>
      <c r="Q46" s="231"/>
    </row>
    <row r="47" spans="1:17" ht="15.6" customHeight="1" x14ac:dyDescent="0.3">
      <c r="A47" s="246" t="s">
        <v>526</v>
      </c>
      <c r="B47" s="250"/>
      <c r="C47" s="206">
        <v>490.88</v>
      </c>
      <c r="D47" s="251"/>
      <c r="E47" s="206">
        <v>818.09</v>
      </c>
      <c r="F47" s="241"/>
      <c r="I47" s="206">
        <v>0</v>
      </c>
      <c r="J47" s="206">
        <v>0</v>
      </c>
      <c r="K47" s="231"/>
      <c r="L47" s="231"/>
      <c r="M47" s="231"/>
      <c r="N47" s="231"/>
      <c r="O47" s="231"/>
      <c r="P47" s="231"/>
      <c r="Q47" s="231"/>
    </row>
    <row r="48" spans="1:17" ht="15.6" customHeight="1" x14ac:dyDescent="0.3">
      <c r="A48" s="246" t="s">
        <v>527</v>
      </c>
      <c r="B48" s="250"/>
      <c r="C48" s="206">
        <v>490.88</v>
      </c>
      <c r="D48" s="251"/>
      <c r="E48" s="206">
        <v>1145.3599999999999</v>
      </c>
      <c r="F48" s="241"/>
      <c r="I48" s="206">
        <v>0</v>
      </c>
      <c r="J48" s="206">
        <v>0</v>
      </c>
      <c r="K48" s="231"/>
      <c r="L48" s="231"/>
      <c r="M48" s="231"/>
      <c r="N48" s="231"/>
      <c r="O48" s="231"/>
      <c r="P48" s="231"/>
      <c r="Q48" s="231"/>
    </row>
    <row r="49" spans="1:17" ht="15.6" customHeight="1" x14ac:dyDescent="0.3">
      <c r="A49" s="246" t="s">
        <v>528</v>
      </c>
      <c r="B49" s="250"/>
      <c r="C49" s="206">
        <v>654.49</v>
      </c>
      <c r="D49" s="251"/>
      <c r="E49" s="206">
        <v>1472.61</v>
      </c>
      <c r="F49" s="241"/>
      <c r="I49" s="206">
        <v>0</v>
      </c>
      <c r="J49" s="206">
        <v>0</v>
      </c>
      <c r="K49" s="231"/>
      <c r="L49" s="231"/>
      <c r="M49" s="231"/>
      <c r="N49" s="231"/>
      <c r="O49" s="231"/>
      <c r="P49" s="231"/>
      <c r="Q49" s="231"/>
    </row>
    <row r="50" spans="1:17" ht="15.6" customHeight="1" x14ac:dyDescent="0.3">
      <c r="A50" s="246" t="s">
        <v>529</v>
      </c>
      <c r="B50" s="250"/>
      <c r="C50" s="206">
        <v>818.09</v>
      </c>
      <c r="D50" s="251"/>
      <c r="E50" s="206">
        <v>1636.2</v>
      </c>
      <c r="F50" s="241"/>
      <c r="I50" s="206">
        <v>0</v>
      </c>
      <c r="J50" s="206">
        <v>0</v>
      </c>
      <c r="K50" s="231"/>
      <c r="L50" s="231"/>
      <c r="M50" s="231"/>
      <c r="N50" s="231"/>
      <c r="O50" s="231"/>
      <c r="P50" s="231"/>
      <c r="Q50" s="231"/>
    </row>
    <row r="51" spans="1:17" ht="15.6" customHeight="1" x14ac:dyDescent="0.3">
      <c r="A51" s="246" t="s">
        <v>530</v>
      </c>
      <c r="B51" s="250"/>
      <c r="C51" s="206">
        <v>981.72</v>
      </c>
      <c r="D51" s="251"/>
      <c r="E51" s="206">
        <v>1799.84</v>
      </c>
      <c r="F51" s="241"/>
      <c r="I51" s="206">
        <v>0</v>
      </c>
      <c r="J51" s="206">
        <v>0</v>
      </c>
      <c r="K51" s="231"/>
      <c r="L51" s="231"/>
      <c r="M51" s="231"/>
      <c r="N51" s="231"/>
      <c r="O51" s="231"/>
      <c r="P51" s="231"/>
      <c r="Q51" s="231"/>
    </row>
    <row r="52" spans="1:17" ht="15.6" customHeight="1" x14ac:dyDescent="0.3">
      <c r="A52" s="252"/>
      <c r="C52" s="253"/>
      <c r="D52" s="251"/>
      <c r="E52" s="206"/>
      <c r="I52" s="206"/>
      <c r="J52" s="206"/>
      <c r="K52" s="231"/>
      <c r="L52" s="231"/>
      <c r="M52" s="231"/>
      <c r="N52" s="231"/>
      <c r="O52" s="231"/>
      <c r="P52" s="231"/>
      <c r="Q52" s="231"/>
    </row>
    <row r="53" spans="1:17" ht="15.6" customHeight="1" x14ac:dyDescent="0.3">
      <c r="A53" s="246" t="s">
        <v>531</v>
      </c>
      <c r="B53" s="250"/>
      <c r="C53" s="206">
        <v>223.77</v>
      </c>
      <c r="D53" s="251"/>
      <c r="E53" s="206"/>
      <c r="H53" s="206"/>
      <c r="I53" s="206">
        <v>0</v>
      </c>
      <c r="J53" s="206"/>
      <c r="K53" s="231"/>
      <c r="L53" s="231"/>
      <c r="M53" s="231"/>
      <c r="N53" s="231"/>
      <c r="O53" s="231"/>
      <c r="P53" s="231"/>
      <c r="Q53" s="231"/>
    </row>
    <row r="54" spans="1:17" ht="15.6" customHeight="1" x14ac:dyDescent="0.3">
      <c r="A54" s="246" t="s">
        <v>532</v>
      </c>
      <c r="B54" s="250"/>
      <c r="C54" s="206">
        <v>335.62</v>
      </c>
      <c r="D54" s="251"/>
      <c r="E54" s="206"/>
      <c r="H54" s="206"/>
      <c r="I54" s="206">
        <v>0</v>
      </c>
      <c r="J54" s="206"/>
      <c r="K54" s="231"/>
      <c r="L54" s="231"/>
      <c r="M54" s="231"/>
      <c r="N54" s="231"/>
      <c r="O54" s="231"/>
      <c r="P54" s="231"/>
      <c r="Q54" s="231"/>
    </row>
    <row r="55" spans="1:17" ht="15.6" customHeight="1" x14ac:dyDescent="0.3">
      <c r="A55" s="246" t="s">
        <v>533</v>
      </c>
      <c r="B55" s="250"/>
      <c r="C55" s="206">
        <v>447.49</v>
      </c>
      <c r="D55" s="251"/>
      <c r="E55" s="206"/>
      <c r="H55" s="206"/>
      <c r="I55" s="206">
        <v>0</v>
      </c>
      <c r="J55" s="206"/>
      <c r="K55" s="231"/>
      <c r="L55" s="231"/>
      <c r="M55" s="231"/>
      <c r="N55" s="231"/>
      <c r="O55" s="231"/>
      <c r="P55" s="231"/>
      <c r="Q55" s="231"/>
    </row>
    <row r="56" spans="1:17" ht="15.6" customHeight="1" x14ac:dyDescent="0.3">
      <c r="A56" s="246" t="s">
        <v>534</v>
      </c>
      <c r="B56" s="250"/>
      <c r="C56" s="206">
        <v>559.36</v>
      </c>
      <c r="D56" s="251"/>
      <c r="E56" s="206"/>
      <c r="H56" s="206"/>
      <c r="I56" s="206">
        <v>0</v>
      </c>
      <c r="J56" s="206"/>
      <c r="K56" s="231"/>
      <c r="L56" s="231"/>
      <c r="M56" s="231"/>
      <c r="N56" s="231"/>
      <c r="O56" s="231"/>
      <c r="P56" s="231"/>
      <c r="Q56" s="231"/>
    </row>
    <row r="57" spans="1:17" ht="15.6" customHeight="1" x14ac:dyDescent="0.3">
      <c r="A57" s="252"/>
      <c r="C57" s="9" t="s">
        <v>535</v>
      </c>
      <c r="I57" s="206"/>
      <c r="J57" s="206"/>
      <c r="K57" s="231"/>
      <c r="L57" s="231"/>
      <c r="M57" s="231"/>
      <c r="N57" s="231"/>
      <c r="O57" s="231"/>
      <c r="P57" s="231"/>
      <c r="Q57" s="231"/>
    </row>
    <row r="58" spans="1:17" ht="15.6" customHeight="1" x14ac:dyDescent="0.3">
      <c r="A58" s="246" t="s">
        <v>536</v>
      </c>
      <c r="B58" s="250"/>
      <c r="C58" s="206">
        <v>111.84</v>
      </c>
      <c r="H58" s="206"/>
      <c r="I58" s="206">
        <v>0</v>
      </c>
      <c r="J58" s="206"/>
      <c r="K58" s="231"/>
      <c r="L58" s="231"/>
      <c r="M58" s="231"/>
      <c r="N58" s="231"/>
      <c r="O58" s="231"/>
      <c r="P58" s="231"/>
      <c r="Q58" s="231"/>
    </row>
    <row r="59" spans="1:17" ht="15.6" customHeight="1" x14ac:dyDescent="0.3">
      <c r="A59" s="208"/>
      <c r="B59" s="214"/>
      <c r="C59" s="207"/>
      <c r="I59" s="206"/>
      <c r="J59" s="206"/>
      <c r="K59" s="231"/>
      <c r="L59" s="231"/>
      <c r="M59" s="231"/>
      <c r="N59" s="231"/>
      <c r="O59" s="231"/>
      <c r="P59" s="231"/>
      <c r="Q59" s="231"/>
    </row>
    <row r="60" spans="1:17" ht="15.6" customHeight="1" x14ac:dyDescent="0.3">
      <c r="A60" s="210" t="s">
        <v>537</v>
      </c>
      <c r="B60" s="254"/>
      <c r="I60" s="206"/>
      <c r="J60" s="206"/>
      <c r="K60" s="231"/>
      <c r="L60" s="231"/>
      <c r="M60" s="231"/>
      <c r="N60" s="231"/>
      <c r="O60" s="231"/>
      <c r="P60" s="231"/>
      <c r="Q60" s="231"/>
    </row>
    <row r="61" spans="1:17" ht="15.6" customHeight="1" x14ac:dyDescent="0.3">
      <c r="A61" s="210" t="s">
        <v>538</v>
      </c>
      <c r="B61" s="214"/>
      <c r="C61" s="255" t="s">
        <v>2</v>
      </c>
      <c r="D61" s="255"/>
      <c r="E61" s="255" t="s">
        <v>3</v>
      </c>
      <c r="I61" s="206"/>
      <c r="J61" s="206"/>
      <c r="K61" s="231"/>
      <c r="L61" s="231"/>
      <c r="M61" s="231"/>
      <c r="N61" s="231"/>
      <c r="O61" s="231"/>
      <c r="P61" s="231"/>
      <c r="Q61" s="231"/>
    </row>
    <row r="62" spans="1:17" ht="15.6" customHeight="1" x14ac:dyDescent="0.3">
      <c r="A62" s="238">
        <v>40304005</v>
      </c>
      <c r="B62" s="256" t="s">
        <v>378</v>
      </c>
      <c r="C62" s="206">
        <v>3172.35</v>
      </c>
      <c r="D62" s="251"/>
      <c r="E62" s="206">
        <v>3142.35</v>
      </c>
      <c r="H62" s="206"/>
      <c r="I62" s="206">
        <v>1.5</v>
      </c>
      <c r="J62" s="206">
        <v>1.5</v>
      </c>
      <c r="K62" s="231"/>
      <c r="L62" s="231"/>
      <c r="M62" s="231"/>
      <c r="N62" s="231"/>
      <c r="O62" s="231"/>
      <c r="P62" s="231"/>
      <c r="Q62" s="231"/>
    </row>
    <row r="63" spans="1:17" ht="15.6" customHeight="1" x14ac:dyDescent="0.3">
      <c r="A63" s="238">
        <v>40304007</v>
      </c>
      <c r="B63" s="256" t="s">
        <v>379</v>
      </c>
      <c r="C63" s="206">
        <v>2957.5</v>
      </c>
      <c r="D63" s="251"/>
      <c r="E63" s="206">
        <v>2929.54</v>
      </c>
      <c r="H63" s="206"/>
      <c r="I63" s="206">
        <v>1.5</v>
      </c>
      <c r="J63" s="206">
        <v>1.5</v>
      </c>
      <c r="K63" s="231"/>
      <c r="L63" s="231"/>
      <c r="M63" s="231"/>
      <c r="N63" s="231"/>
      <c r="O63" s="231"/>
      <c r="P63" s="231"/>
      <c r="Q63" s="231"/>
    </row>
    <row r="64" spans="1:17" ht="15.6" customHeight="1" x14ac:dyDescent="0.3">
      <c r="A64" s="238">
        <v>40304008</v>
      </c>
      <c r="B64" s="256" t="s">
        <v>380</v>
      </c>
      <c r="C64" s="206">
        <v>2592.35</v>
      </c>
      <c r="D64" s="251"/>
      <c r="E64" s="206">
        <v>2567.83</v>
      </c>
      <c r="H64" s="206"/>
      <c r="I64" s="206">
        <v>1.5</v>
      </c>
      <c r="J64" s="206">
        <v>1.5</v>
      </c>
      <c r="K64" s="231"/>
      <c r="L64" s="231"/>
      <c r="M64" s="231"/>
      <c r="N64" s="231"/>
      <c r="O64" s="231"/>
      <c r="P64" s="231"/>
      <c r="Q64" s="231"/>
    </row>
    <row r="65" spans="1:17" ht="15.6" customHeight="1" x14ac:dyDescent="0.3">
      <c r="A65" s="238">
        <v>40304009</v>
      </c>
      <c r="B65" s="256" t="s">
        <v>381</v>
      </c>
      <c r="C65" s="206">
        <v>2481.37</v>
      </c>
      <c r="D65" s="251"/>
      <c r="E65" s="206">
        <v>2457.9</v>
      </c>
      <c r="H65" s="206"/>
      <c r="I65" s="206">
        <v>1.5</v>
      </c>
      <c r="J65" s="206">
        <v>1.5</v>
      </c>
      <c r="K65" s="231"/>
      <c r="L65" s="231"/>
      <c r="M65" s="231"/>
      <c r="N65" s="231"/>
      <c r="O65" s="231"/>
      <c r="P65" s="231"/>
      <c r="Q65" s="231"/>
    </row>
    <row r="66" spans="1:17" ht="15.6" customHeight="1" x14ac:dyDescent="0.3">
      <c r="A66" s="238">
        <v>40304010</v>
      </c>
      <c r="B66" s="256" t="s">
        <v>382</v>
      </c>
      <c r="C66" s="206">
        <v>2347.37</v>
      </c>
      <c r="D66" s="251"/>
      <c r="E66" s="206">
        <v>2325.64</v>
      </c>
      <c r="H66" s="206"/>
      <c r="I66" s="206">
        <v>1.5</v>
      </c>
      <c r="J66" s="206">
        <v>1.5</v>
      </c>
      <c r="K66" s="231"/>
      <c r="L66" s="231"/>
      <c r="M66" s="231"/>
      <c r="N66" s="231"/>
      <c r="O66" s="231"/>
      <c r="P66" s="231"/>
      <c r="Q66" s="231"/>
    </row>
    <row r="67" spans="1:17" ht="15.6" customHeight="1" x14ac:dyDescent="0.3">
      <c r="A67" s="238">
        <v>40304012</v>
      </c>
      <c r="B67" s="256" t="s">
        <v>383</v>
      </c>
      <c r="C67" s="206">
        <v>3194.39</v>
      </c>
      <c r="D67" s="251"/>
      <c r="E67" s="206">
        <v>3164.17</v>
      </c>
      <c r="H67" s="206"/>
      <c r="I67" s="206">
        <v>1.5</v>
      </c>
      <c r="J67" s="206">
        <v>1.5</v>
      </c>
      <c r="K67" s="231"/>
      <c r="L67" s="231"/>
      <c r="M67" s="231"/>
      <c r="N67" s="231"/>
      <c r="O67" s="231"/>
      <c r="P67" s="231"/>
      <c r="Q67" s="231"/>
    </row>
    <row r="68" spans="1:17" ht="15.6" customHeight="1" x14ac:dyDescent="0.3">
      <c r="A68" s="238">
        <v>40304014</v>
      </c>
      <c r="B68" s="256" t="s">
        <v>384</v>
      </c>
      <c r="C68" s="206">
        <v>3082.7</v>
      </c>
      <c r="D68" s="251"/>
      <c r="E68" s="206">
        <v>3053.53</v>
      </c>
      <c r="H68" s="206"/>
      <c r="I68" s="206">
        <v>1.5</v>
      </c>
      <c r="J68" s="206">
        <v>1.5</v>
      </c>
      <c r="K68" s="231"/>
      <c r="L68" s="231"/>
      <c r="M68" s="231"/>
      <c r="N68" s="231"/>
      <c r="O68" s="231"/>
      <c r="P68" s="231"/>
      <c r="Q68" s="231"/>
    </row>
    <row r="69" spans="1:17" ht="15.6" customHeight="1" x14ac:dyDescent="0.3">
      <c r="A69" s="238">
        <v>40304013</v>
      </c>
      <c r="B69" s="256" t="s">
        <v>385</v>
      </c>
      <c r="C69" s="206">
        <v>2983.87</v>
      </c>
      <c r="D69" s="251"/>
      <c r="E69" s="206">
        <v>2955.62</v>
      </c>
      <c r="H69" s="206"/>
      <c r="I69" s="206">
        <v>1.5</v>
      </c>
      <c r="J69" s="206">
        <v>1.5</v>
      </c>
      <c r="K69" s="231"/>
      <c r="L69" s="231"/>
      <c r="M69" s="231"/>
      <c r="N69" s="231"/>
      <c r="O69" s="231"/>
      <c r="P69" s="231"/>
      <c r="Q69" s="231"/>
    </row>
    <row r="70" spans="1:17" ht="15.6" customHeight="1" x14ac:dyDescent="0.3">
      <c r="A70" s="238">
        <v>40304015</v>
      </c>
      <c r="B70" s="256" t="s">
        <v>386</v>
      </c>
      <c r="C70" s="206">
        <v>2937.34</v>
      </c>
      <c r="D70" s="251"/>
      <c r="E70" s="206">
        <v>2909.58</v>
      </c>
      <c r="H70" s="206"/>
      <c r="I70" s="206">
        <v>1.5</v>
      </c>
      <c r="J70" s="206">
        <v>1.5</v>
      </c>
      <c r="K70" s="231"/>
      <c r="L70" s="231"/>
      <c r="M70" s="231"/>
      <c r="N70" s="231"/>
      <c r="O70" s="231"/>
      <c r="P70" s="231"/>
      <c r="Q70" s="231"/>
    </row>
    <row r="71" spans="1:17" ht="15.6" customHeight="1" x14ac:dyDescent="0.3">
      <c r="A71" s="238">
        <v>40304016</v>
      </c>
      <c r="B71" s="256" t="s">
        <v>387</v>
      </c>
      <c r="C71" s="206">
        <v>2815.17</v>
      </c>
      <c r="D71" s="251"/>
      <c r="E71" s="206">
        <v>2788.6</v>
      </c>
      <c r="H71" s="206"/>
      <c r="I71" s="206">
        <v>1.5</v>
      </c>
      <c r="J71" s="206">
        <v>1.5</v>
      </c>
      <c r="K71" s="231"/>
      <c r="L71" s="231"/>
      <c r="M71" s="231"/>
      <c r="N71" s="231"/>
      <c r="O71" s="231"/>
      <c r="P71" s="231"/>
      <c r="Q71" s="231"/>
    </row>
    <row r="72" spans="1:17" ht="15.6" customHeight="1" x14ac:dyDescent="0.3">
      <c r="A72" s="238">
        <v>40304017</v>
      </c>
      <c r="B72" s="256" t="s">
        <v>388</v>
      </c>
      <c r="C72" s="206">
        <v>2460.56</v>
      </c>
      <c r="D72" s="251"/>
      <c r="E72" s="206">
        <v>2437.5500000000002</v>
      </c>
      <c r="H72" s="206"/>
      <c r="I72" s="206">
        <v>1.5</v>
      </c>
      <c r="J72" s="206">
        <v>1.5</v>
      </c>
      <c r="K72" s="231"/>
      <c r="L72" s="231"/>
      <c r="M72" s="231"/>
      <c r="N72" s="231"/>
      <c r="O72" s="231"/>
      <c r="P72" s="231"/>
      <c r="Q72" s="231"/>
    </row>
    <row r="73" spans="1:17" ht="15.6" customHeight="1" x14ac:dyDescent="0.3">
      <c r="A73" s="238">
        <v>40304028</v>
      </c>
      <c r="B73" s="256" t="s">
        <v>389</v>
      </c>
      <c r="C73" s="206">
        <v>3172.35</v>
      </c>
      <c r="D73" s="251"/>
      <c r="E73" s="206">
        <v>3142.35</v>
      </c>
      <c r="H73" s="206"/>
      <c r="I73" s="206">
        <v>1.5</v>
      </c>
      <c r="J73" s="206">
        <v>1.5</v>
      </c>
      <c r="K73" s="231"/>
      <c r="L73" s="231"/>
      <c r="M73" s="231"/>
      <c r="N73" s="231"/>
      <c r="O73" s="231"/>
      <c r="P73" s="231"/>
      <c r="Q73" s="231"/>
    </row>
    <row r="74" spans="1:17" ht="15.6" customHeight="1" x14ac:dyDescent="0.3">
      <c r="A74" s="238">
        <v>40304030</v>
      </c>
      <c r="B74" s="256" t="s">
        <v>390</v>
      </c>
      <c r="C74" s="206">
        <v>2953.21</v>
      </c>
      <c r="D74" s="251"/>
      <c r="E74" s="206">
        <v>2925.3</v>
      </c>
      <c r="H74" s="206"/>
      <c r="I74" s="206">
        <v>1.5</v>
      </c>
      <c r="J74" s="206">
        <v>1.5</v>
      </c>
      <c r="K74" s="231"/>
      <c r="L74" s="231"/>
      <c r="M74" s="231"/>
      <c r="N74" s="231"/>
      <c r="O74" s="231"/>
      <c r="P74" s="231"/>
      <c r="Q74" s="231"/>
    </row>
    <row r="75" spans="1:17" ht="15.6" customHeight="1" x14ac:dyDescent="0.3">
      <c r="A75" s="238">
        <v>40304031</v>
      </c>
      <c r="B75" s="256" t="s">
        <v>391</v>
      </c>
      <c r="C75" s="206">
        <v>2842.53</v>
      </c>
      <c r="D75" s="251"/>
      <c r="E75" s="206">
        <v>2815.63</v>
      </c>
      <c r="H75" s="206"/>
      <c r="I75" s="206">
        <v>1.5</v>
      </c>
      <c r="J75" s="206">
        <v>1.5</v>
      </c>
      <c r="K75" s="231"/>
      <c r="L75" s="231"/>
      <c r="M75" s="231"/>
      <c r="N75" s="231"/>
      <c r="O75" s="231"/>
      <c r="P75" s="231"/>
      <c r="Q75" s="231"/>
    </row>
    <row r="76" spans="1:17" ht="15.6" customHeight="1" x14ac:dyDescent="0.3">
      <c r="A76" s="238">
        <v>40304098</v>
      </c>
      <c r="B76" s="256" t="s">
        <v>492</v>
      </c>
      <c r="C76" s="206">
        <v>2321.64</v>
      </c>
      <c r="D76" s="251"/>
      <c r="E76" s="206">
        <v>2300.3200000000002</v>
      </c>
      <c r="H76" s="206"/>
      <c r="I76" s="206">
        <v>1.5</v>
      </c>
      <c r="J76" s="206">
        <v>1.5</v>
      </c>
      <c r="K76" s="231"/>
      <c r="L76" s="231"/>
      <c r="M76" s="231"/>
      <c r="N76" s="231"/>
      <c r="O76" s="231"/>
      <c r="P76" s="231"/>
      <c r="Q76" s="231"/>
    </row>
    <row r="77" spans="1:17" ht="15.6" customHeight="1" x14ac:dyDescent="0.3">
      <c r="A77" s="238">
        <v>40304033</v>
      </c>
      <c r="B77" s="256" t="s">
        <v>392</v>
      </c>
      <c r="C77" s="206">
        <v>2216.34</v>
      </c>
      <c r="D77" s="251"/>
      <c r="E77" s="206">
        <v>2196.85</v>
      </c>
      <c r="H77" s="206"/>
      <c r="I77" s="206">
        <v>1.5</v>
      </c>
      <c r="J77" s="206">
        <v>1.5</v>
      </c>
      <c r="K77" s="231"/>
      <c r="L77" s="231"/>
      <c r="M77" s="231"/>
      <c r="N77" s="231"/>
      <c r="O77" s="231"/>
      <c r="P77" s="231"/>
      <c r="Q77" s="231"/>
    </row>
    <row r="78" spans="1:17" ht="15.6" customHeight="1" x14ac:dyDescent="0.3">
      <c r="A78" s="238">
        <v>40304020</v>
      </c>
      <c r="B78" s="256" t="s">
        <v>393</v>
      </c>
      <c r="C78" s="206">
        <v>2548.33</v>
      </c>
      <c r="D78" s="251"/>
      <c r="E78" s="206">
        <v>2524.21</v>
      </c>
      <c r="H78" s="206"/>
      <c r="I78" s="206">
        <v>1.5</v>
      </c>
      <c r="J78" s="206">
        <v>1.5</v>
      </c>
      <c r="K78" s="231"/>
      <c r="L78" s="231"/>
      <c r="M78" s="231"/>
      <c r="N78" s="231"/>
      <c r="O78" s="231"/>
      <c r="P78" s="231"/>
      <c r="Q78" s="231"/>
    </row>
    <row r="79" spans="1:17" ht="15.6" customHeight="1" x14ac:dyDescent="0.3">
      <c r="A79" s="238">
        <v>40304024</v>
      </c>
      <c r="B79" s="256" t="s">
        <v>539</v>
      </c>
      <c r="C79" s="206">
        <v>2548.33</v>
      </c>
      <c r="D79" s="251"/>
      <c r="E79" s="206">
        <v>2524.21</v>
      </c>
      <c r="H79" s="206"/>
      <c r="I79" s="206">
        <v>1.5</v>
      </c>
      <c r="J79" s="206">
        <v>1.5</v>
      </c>
      <c r="K79" s="231"/>
      <c r="L79" s="231"/>
      <c r="M79" s="231"/>
      <c r="N79" s="231"/>
      <c r="O79" s="231"/>
      <c r="P79" s="231"/>
      <c r="Q79" s="231"/>
    </row>
    <row r="80" spans="1:17" ht="15.6" customHeight="1" x14ac:dyDescent="0.3">
      <c r="A80" s="238">
        <v>40304021</v>
      </c>
      <c r="B80" s="256" t="s">
        <v>394</v>
      </c>
      <c r="C80" s="206">
        <v>2495.33</v>
      </c>
      <c r="D80" s="251"/>
      <c r="E80" s="206">
        <v>2471.6799999999998</v>
      </c>
      <c r="H80" s="206"/>
      <c r="I80" s="206">
        <v>1.5</v>
      </c>
      <c r="J80" s="206">
        <v>1.5</v>
      </c>
      <c r="K80" s="231"/>
      <c r="L80" s="231"/>
      <c r="M80" s="231"/>
      <c r="N80" s="231"/>
      <c r="O80" s="231"/>
      <c r="P80" s="231"/>
      <c r="Q80" s="231"/>
    </row>
    <row r="81" spans="1:17" ht="15.6" customHeight="1" x14ac:dyDescent="0.3">
      <c r="A81" s="238">
        <v>40304022</v>
      </c>
      <c r="B81" s="256" t="s">
        <v>185</v>
      </c>
      <c r="C81" s="206">
        <v>2150.8000000000002</v>
      </c>
      <c r="D81" s="251"/>
      <c r="E81" s="206">
        <v>2133.16</v>
      </c>
      <c r="H81" s="206"/>
      <c r="I81" s="206">
        <v>1.5</v>
      </c>
      <c r="J81" s="206">
        <v>1.5</v>
      </c>
      <c r="K81" s="231"/>
      <c r="L81" s="231"/>
      <c r="M81" s="231"/>
      <c r="N81" s="231"/>
      <c r="O81" s="231"/>
      <c r="P81" s="231"/>
      <c r="Q81" s="231"/>
    </row>
    <row r="82" spans="1:17" ht="15.6" customHeight="1" x14ac:dyDescent="0.3">
      <c r="A82" s="238">
        <v>40307038</v>
      </c>
      <c r="B82" s="256" t="s">
        <v>395</v>
      </c>
      <c r="C82" s="206">
        <v>3172.35</v>
      </c>
      <c r="D82" s="251"/>
      <c r="E82" s="206">
        <v>3142.35</v>
      </c>
      <c r="H82" s="206"/>
      <c r="I82" s="206">
        <v>1.5</v>
      </c>
      <c r="J82" s="206">
        <v>1.5</v>
      </c>
      <c r="K82" s="231"/>
      <c r="L82" s="231"/>
      <c r="M82" s="231"/>
      <c r="N82" s="231"/>
      <c r="O82" s="231"/>
      <c r="P82" s="231"/>
      <c r="Q82" s="231"/>
    </row>
    <row r="83" spans="1:17" ht="15.6" customHeight="1" x14ac:dyDescent="0.3">
      <c r="A83" s="238">
        <v>40307040</v>
      </c>
      <c r="B83" s="256" t="s">
        <v>396</v>
      </c>
      <c r="C83" s="206">
        <v>2957.5</v>
      </c>
      <c r="D83" s="251"/>
      <c r="E83" s="206">
        <v>2929.54</v>
      </c>
      <c r="H83" s="206"/>
      <c r="I83" s="206">
        <v>1.5</v>
      </c>
      <c r="J83" s="206">
        <v>1.5</v>
      </c>
      <c r="K83" s="231"/>
      <c r="L83" s="231"/>
      <c r="M83" s="231"/>
      <c r="N83" s="231"/>
      <c r="O83" s="231"/>
      <c r="P83" s="231"/>
      <c r="Q83" s="231"/>
    </row>
    <row r="84" spans="1:17" ht="15.6" customHeight="1" x14ac:dyDescent="0.3">
      <c r="A84" s="238">
        <v>40307041</v>
      </c>
      <c r="B84" s="256" t="s">
        <v>397</v>
      </c>
      <c r="C84" s="206">
        <v>2592.35</v>
      </c>
      <c r="D84" s="251"/>
      <c r="E84" s="206">
        <v>2567.83</v>
      </c>
      <c r="H84" s="206"/>
      <c r="I84" s="206">
        <v>1.5</v>
      </c>
      <c r="J84" s="206">
        <v>1.5</v>
      </c>
      <c r="K84" s="231"/>
      <c r="L84" s="231"/>
      <c r="M84" s="231"/>
      <c r="N84" s="231"/>
      <c r="O84" s="231"/>
      <c r="P84" s="231"/>
      <c r="Q84" s="231"/>
    </row>
    <row r="85" spans="1:17" ht="15.6" customHeight="1" x14ac:dyDescent="0.3">
      <c r="A85" s="238">
        <v>40307042</v>
      </c>
      <c r="B85" s="256" t="s">
        <v>398</v>
      </c>
      <c r="C85" s="206">
        <v>2481.37</v>
      </c>
      <c r="D85" s="251"/>
      <c r="E85" s="206">
        <v>2457.9</v>
      </c>
      <c r="H85" s="206"/>
      <c r="I85" s="206">
        <v>1.5</v>
      </c>
      <c r="J85" s="206">
        <v>1.5</v>
      </c>
      <c r="K85" s="231"/>
      <c r="L85" s="231"/>
      <c r="M85" s="231"/>
      <c r="N85" s="231"/>
      <c r="O85" s="231"/>
      <c r="P85" s="231"/>
      <c r="Q85" s="231"/>
    </row>
    <row r="86" spans="1:17" ht="15.6" customHeight="1" x14ac:dyDescent="0.3">
      <c r="A86" s="238">
        <v>40307043</v>
      </c>
      <c r="B86" s="256" t="s">
        <v>399</v>
      </c>
      <c r="C86" s="206">
        <v>2347.37</v>
      </c>
      <c r="D86" s="251"/>
      <c r="E86" s="206">
        <v>2325.64</v>
      </c>
      <c r="H86" s="206"/>
      <c r="I86" s="206">
        <v>1.5</v>
      </c>
      <c r="J86" s="206">
        <v>1.5</v>
      </c>
      <c r="K86" s="231"/>
      <c r="L86" s="231"/>
      <c r="M86" s="231"/>
      <c r="N86" s="231"/>
      <c r="O86" s="231"/>
      <c r="P86" s="231"/>
      <c r="Q86" s="231"/>
    </row>
    <row r="87" spans="1:17" ht="15.6" customHeight="1" x14ac:dyDescent="0.3">
      <c r="A87" s="238">
        <v>40307044</v>
      </c>
      <c r="B87" s="256" t="s">
        <v>400</v>
      </c>
      <c r="C87" s="206">
        <v>3194.39</v>
      </c>
      <c r="D87" s="251"/>
      <c r="E87" s="206">
        <v>3164.17</v>
      </c>
      <c r="H87" s="206"/>
      <c r="I87" s="206">
        <v>1.5</v>
      </c>
      <c r="J87" s="206">
        <v>1.5</v>
      </c>
      <c r="K87" s="231"/>
      <c r="L87" s="231"/>
      <c r="M87" s="231"/>
      <c r="N87" s="231"/>
      <c r="O87" s="231"/>
      <c r="P87" s="231"/>
      <c r="Q87" s="231"/>
    </row>
    <row r="88" spans="1:17" ht="15.6" customHeight="1" x14ac:dyDescent="0.3">
      <c r="A88" s="238">
        <v>40307046</v>
      </c>
      <c r="B88" s="256" t="s">
        <v>401</v>
      </c>
      <c r="C88" s="206">
        <v>3082.7</v>
      </c>
      <c r="D88" s="251"/>
      <c r="E88" s="206">
        <v>3053.53</v>
      </c>
      <c r="H88" s="206"/>
      <c r="I88" s="206">
        <v>1.5</v>
      </c>
      <c r="J88" s="206">
        <v>1.5</v>
      </c>
      <c r="K88" s="231"/>
      <c r="L88" s="231"/>
      <c r="M88" s="231"/>
      <c r="N88" s="231"/>
      <c r="O88" s="231"/>
      <c r="P88" s="231"/>
      <c r="Q88" s="231"/>
    </row>
    <row r="89" spans="1:17" ht="15.6" customHeight="1" x14ac:dyDescent="0.3">
      <c r="A89" s="238">
        <v>40307045</v>
      </c>
      <c r="B89" s="256" t="s">
        <v>402</v>
      </c>
      <c r="C89" s="206">
        <v>2983.87</v>
      </c>
      <c r="D89" s="251"/>
      <c r="E89" s="206">
        <v>2955.62</v>
      </c>
      <c r="H89" s="206"/>
      <c r="I89" s="206">
        <v>1.5</v>
      </c>
      <c r="J89" s="206">
        <v>1.5</v>
      </c>
      <c r="K89" s="231"/>
      <c r="L89" s="231"/>
      <c r="M89" s="231"/>
      <c r="N89" s="231"/>
      <c r="O89" s="231"/>
      <c r="P89" s="231"/>
      <c r="Q89" s="231"/>
    </row>
    <row r="90" spans="1:17" ht="15.6" customHeight="1" x14ac:dyDescent="0.3">
      <c r="A90" s="238">
        <v>40307047</v>
      </c>
      <c r="B90" s="256" t="s">
        <v>403</v>
      </c>
      <c r="C90" s="206">
        <v>2937.34</v>
      </c>
      <c r="D90" s="251"/>
      <c r="E90" s="206">
        <v>2909.58</v>
      </c>
      <c r="H90" s="206"/>
      <c r="I90" s="206">
        <v>1.5</v>
      </c>
      <c r="J90" s="206">
        <v>1.5</v>
      </c>
      <c r="K90" s="231"/>
      <c r="L90" s="231"/>
      <c r="M90" s="231"/>
      <c r="N90" s="231"/>
      <c r="O90" s="231"/>
      <c r="P90" s="231"/>
      <c r="Q90" s="231"/>
    </row>
    <row r="91" spans="1:17" ht="15.6" customHeight="1" x14ac:dyDescent="0.3">
      <c r="A91" s="238">
        <v>40307048</v>
      </c>
      <c r="B91" s="256" t="s">
        <v>404</v>
      </c>
      <c r="C91" s="206">
        <v>2815.17</v>
      </c>
      <c r="D91" s="251"/>
      <c r="E91" s="206">
        <v>2788.6</v>
      </c>
      <c r="H91" s="206"/>
      <c r="I91" s="206">
        <v>1.5</v>
      </c>
      <c r="J91" s="206">
        <v>1.5</v>
      </c>
      <c r="K91" s="231"/>
      <c r="L91" s="231"/>
      <c r="M91" s="231"/>
      <c r="N91" s="231"/>
      <c r="O91" s="231"/>
      <c r="P91" s="231"/>
      <c r="Q91" s="231"/>
    </row>
    <row r="92" spans="1:17" ht="15.6" customHeight="1" x14ac:dyDescent="0.3">
      <c r="A92" s="238">
        <v>40307049</v>
      </c>
      <c r="B92" s="256" t="s">
        <v>405</v>
      </c>
      <c r="C92" s="206">
        <v>2460.56</v>
      </c>
      <c r="D92" s="251"/>
      <c r="E92" s="206">
        <v>2437.5500000000002</v>
      </c>
      <c r="H92" s="206"/>
      <c r="I92" s="206">
        <v>1.5</v>
      </c>
      <c r="J92" s="206">
        <v>1.5</v>
      </c>
      <c r="K92" s="231"/>
      <c r="L92" s="231"/>
      <c r="M92" s="231"/>
      <c r="N92" s="231"/>
      <c r="O92" s="231"/>
      <c r="P92" s="231"/>
      <c r="Q92" s="231"/>
    </row>
    <row r="93" spans="1:17" ht="15.6" customHeight="1" x14ac:dyDescent="0.3">
      <c r="A93" s="238">
        <v>40307054</v>
      </c>
      <c r="B93" s="256" t="s">
        <v>540</v>
      </c>
      <c r="C93" s="206">
        <v>3172.35</v>
      </c>
      <c r="D93" s="251"/>
      <c r="E93" s="206">
        <v>3142.35</v>
      </c>
      <c r="H93" s="206"/>
      <c r="I93" s="206">
        <v>1.5</v>
      </c>
      <c r="J93" s="206">
        <v>1.5</v>
      </c>
      <c r="K93" s="231"/>
      <c r="L93" s="231"/>
      <c r="M93" s="231"/>
      <c r="N93" s="231"/>
      <c r="O93" s="231"/>
      <c r="P93" s="231"/>
      <c r="Q93" s="231"/>
    </row>
    <row r="94" spans="1:17" ht="15.6" customHeight="1" x14ac:dyDescent="0.3">
      <c r="A94" s="238">
        <v>40307056</v>
      </c>
      <c r="B94" s="256" t="s">
        <v>407</v>
      </c>
      <c r="C94" s="206">
        <v>2953.21</v>
      </c>
      <c r="D94" s="251"/>
      <c r="E94" s="206">
        <v>2925.3</v>
      </c>
      <c r="H94" s="206"/>
      <c r="I94" s="206">
        <v>1.5</v>
      </c>
      <c r="J94" s="206">
        <v>1.5</v>
      </c>
      <c r="K94" s="231"/>
      <c r="L94" s="231"/>
      <c r="M94" s="231"/>
      <c r="N94" s="231"/>
      <c r="O94" s="231"/>
      <c r="P94" s="231"/>
      <c r="Q94" s="231"/>
    </row>
    <row r="95" spans="1:17" ht="15.6" customHeight="1" x14ac:dyDescent="0.3">
      <c r="A95" s="238">
        <v>40307057</v>
      </c>
      <c r="B95" s="256" t="s">
        <v>408</v>
      </c>
      <c r="C95" s="206">
        <v>2842.53</v>
      </c>
      <c r="D95" s="251"/>
      <c r="E95" s="206">
        <v>2815.63</v>
      </c>
      <c r="H95" s="206"/>
      <c r="I95" s="206">
        <v>1.5</v>
      </c>
      <c r="J95" s="206">
        <v>1.5</v>
      </c>
      <c r="K95" s="231"/>
      <c r="L95" s="231"/>
      <c r="M95" s="231"/>
      <c r="N95" s="231"/>
      <c r="O95" s="231"/>
      <c r="P95" s="231"/>
      <c r="Q95" s="231"/>
    </row>
    <row r="96" spans="1:17" ht="15.6" customHeight="1" x14ac:dyDescent="0.3">
      <c r="A96" s="238">
        <v>40307099</v>
      </c>
      <c r="B96" s="256" t="s">
        <v>494</v>
      </c>
      <c r="C96" s="206">
        <v>2321.64</v>
      </c>
      <c r="D96" s="251"/>
      <c r="E96" s="206">
        <v>2300.3200000000002</v>
      </c>
      <c r="H96" s="206"/>
      <c r="I96" s="206">
        <v>1.5</v>
      </c>
      <c r="J96" s="206">
        <v>1.5</v>
      </c>
      <c r="K96" s="231"/>
      <c r="L96" s="231"/>
      <c r="M96" s="231"/>
      <c r="N96" s="231"/>
      <c r="O96" s="231"/>
      <c r="P96" s="231"/>
      <c r="Q96" s="231"/>
    </row>
    <row r="97" spans="1:17" ht="15.6" customHeight="1" x14ac:dyDescent="0.3">
      <c r="A97" s="238">
        <v>40307059</v>
      </c>
      <c r="B97" s="256" t="s">
        <v>409</v>
      </c>
      <c r="C97" s="206">
        <v>2216.34</v>
      </c>
      <c r="D97" s="251"/>
      <c r="E97" s="206">
        <v>2196.85</v>
      </c>
      <c r="H97" s="206"/>
      <c r="I97" s="206">
        <v>1.5</v>
      </c>
      <c r="J97" s="206">
        <v>1.5</v>
      </c>
      <c r="K97" s="231"/>
      <c r="L97" s="231"/>
      <c r="M97" s="231"/>
      <c r="N97" s="231"/>
      <c r="O97" s="231"/>
      <c r="P97" s="231"/>
      <c r="Q97" s="231"/>
    </row>
    <row r="98" spans="1:17" ht="15.6" customHeight="1" x14ac:dyDescent="0.3">
      <c r="A98" s="238">
        <v>40307062</v>
      </c>
      <c r="B98" s="256" t="s">
        <v>410</v>
      </c>
      <c r="C98" s="206">
        <v>2548.33</v>
      </c>
      <c r="D98" s="251"/>
      <c r="E98" s="206">
        <v>2524.21</v>
      </c>
      <c r="H98" s="206"/>
      <c r="I98" s="206">
        <v>1.5</v>
      </c>
      <c r="J98" s="206">
        <v>1.5</v>
      </c>
      <c r="K98" s="231"/>
      <c r="L98" s="231"/>
      <c r="M98" s="231"/>
      <c r="N98" s="231"/>
      <c r="O98" s="231"/>
      <c r="P98" s="231"/>
      <c r="Q98" s="231"/>
    </row>
    <row r="99" spans="1:17" ht="15.6" customHeight="1" x14ac:dyDescent="0.3">
      <c r="A99" s="238">
        <v>40307065</v>
      </c>
      <c r="B99" s="256" t="s">
        <v>541</v>
      </c>
      <c r="C99" s="206">
        <v>2548.33</v>
      </c>
      <c r="D99" s="251"/>
      <c r="E99" s="206">
        <v>2524.21</v>
      </c>
      <c r="H99" s="206"/>
      <c r="I99" s="206">
        <v>1.5</v>
      </c>
      <c r="J99" s="206">
        <v>1.5</v>
      </c>
      <c r="K99" s="231"/>
      <c r="L99" s="231"/>
      <c r="M99" s="231"/>
      <c r="N99" s="231"/>
      <c r="O99" s="231"/>
      <c r="P99" s="231"/>
      <c r="Q99" s="231"/>
    </row>
    <row r="100" spans="1:17" ht="15.6" customHeight="1" x14ac:dyDescent="0.3">
      <c r="A100" s="238">
        <v>40307063</v>
      </c>
      <c r="B100" s="256" t="s">
        <v>411</v>
      </c>
      <c r="C100" s="206">
        <v>2495.33</v>
      </c>
      <c r="D100" s="251"/>
      <c r="E100" s="206">
        <v>2471.6799999999998</v>
      </c>
      <c r="H100" s="206"/>
      <c r="I100" s="206">
        <v>1.5</v>
      </c>
      <c r="J100" s="206">
        <v>1.5</v>
      </c>
      <c r="K100" s="231"/>
      <c r="L100" s="231"/>
      <c r="M100" s="231"/>
      <c r="N100" s="231"/>
      <c r="O100" s="231"/>
      <c r="P100" s="231"/>
      <c r="Q100" s="231"/>
    </row>
    <row r="101" spans="1:17" ht="15.6" customHeight="1" x14ac:dyDescent="0.3">
      <c r="A101" s="238">
        <v>40307064</v>
      </c>
      <c r="B101" s="256" t="s">
        <v>186</v>
      </c>
      <c r="C101" s="206">
        <v>2150.8000000000002</v>
      </c>
      <c r="D101" s="251"/>
      <c r="E101" s="206">
        <v>2133.16</v>
      </c>
      <c r="H101" s="206"/>
      <c r="I101" s="206">
        <v>1.5</v>
      </c>
      <c r="J101" s="206">
        <v>1.5</v>
      </c>
      <c r="K101" s="231"/>
      <c r="L101" s="231"/>
      <c r="M101" s="231"/>
      <c r="N101" s="231"/>
      <c r="O101" s="231"/>
      <c r="P101" s="231"/>
      <c r="Q101" s="231"/>
    </row>
    <row r="102" spans="1:17" ht="15.6" customHeight="1" x14ac:dyDescent="0.3">
      <c r="A102" s="208"/>
      <c r="B102" s="209"/>
      <c r="C102" s="207"/>
      <c r="D102" s="207"/>
      <c r="E102" s="207"/>
      <c r="I102" s="206"/>
      <c r="J102" s="206"/>
      <c r="K102" s="231"/>
      <c r="L102" s="231"/>
      <c r="M102" s="231"/>
      <c r="N102" s="231"/>
      <c r="O102" s="231"/>
      <c r="P102" s="231"/>
      <c r="Q102" s="231"/>
    </row>
    <row r="103" spans="1:17" ht="15.6" customHeight="1" x14ac:dyDescent="0.3">
      <c r="A103" s="210" t="s">
        <v>512</v>
      </c>
      <c r="B103" s="209"/>
      <c r="D103" s="207"/>
      <c r="E103" s="207"/>
      <c r="I103" s="206"/>
      <c r="J103" s="206"/>
      <c r="K103" s="231"/>
      <c r="L103" s="231"/>
      <c r="M103" s="231"/>
      <c r="N103" s="231"/>
      <c r="O103" s="231"/>
      <c r="P103" s="231"/>
      <c r="Q103" s="231"/>
    </row>
    <row r="104" spans="1:17" ht="15.6" customHeight="1" x14ac:dyDescent="0.3">
      <c r="A104" s="208"/>
      <c r="B104" s="257" t="s">
        <v>542</v>
      </c>
      <c r="C104" s="216" t="s">
        <v>520</v>
      </c>
      <c r="D104" s="207"/>
      <c r="E104" s="207"/>
      <c r="I104" s="206"/>
      <c r="J104" s="206"/>
      <c r="K104" s="231"/>
      <c r="L104" s="231"/>
      <c r="M104" s="231"/>
      <c r="N104" s="231"/>
      <c r="O104" s="231"/>
      <c r="P104" s="231"/>
      <c r="Q104" s="231"/>
    </row>
    <row r="105" spans="1:17" ht="15.6" customHeight="1" x14ac:dyDescent="0.3">
      <c r="A105" s="208"/>
      <c r="B105" s="256" t="s">
        <v>543</v>
      </c>
      <c r="C105" s="206">
        <v>203.86</v>
      </c>
      <c r="D105" s="207"/>
      <c r="E105" s="207"/>
      <c r="H105" s="206"/>
      <c r="I105" s="206">
        <v>0</v>
      </c>
      <c r="J105" s="206">
        <v>0</v>
      </c>
      <c r="K105" s="231"/>
      <c r="L105" s="231"/>
      <c r="M105" s="231"/>
      <c r="N105" s="231"/>
      <c r="O105" s="231"/>
      <c r="P105" s="231"/>
      <c r="Q105" s="231"/>
    </row>
    <row r="106" spans="1:17" ht="15.6" customHeight="1" x14ac:dyDescent="0.3">
      <c r="A106" s="208"/>
      <c r="B106" s="256" t="s">
        <v>544</v>
      </c>
      <c r="C106" s="206">
        <v>407.69</v>
      </c>
      <c r="D106" s="207"/>
      <c r="E106" s="207"/>
      <c r="H106" s="206"/>
      <c r="I106" s="206">
        <v>0</v>
      </c>
      <c r="J106" s="206">
        <v>0</v>
      </c>
      <c r="K106" s="231"/>
      <c r="L106" s="231"/>
      <c r="M106" s="231"/>
      <c r="N106" s="231"/>
      <c r="O106" s="231"/>
      <c r="P106" s="231"/>
      <c r="Q106" s="231"/>
    </row>
    <row r="107" spans="1:17" ht="15.6" customHeight="1" x14ac:dyDescent="0.3">
      <c r="A107" s="208"/>
      <c r="B107" s="256" t="s">
        <v>545</v>
      </c>
      <c r="C107" s="206">
        <v>611.55999999999995</v>
      </c>
      <c r="D107" s="207"/>
      <c r="E107" s="207"/>
      <c r="H107" s="206"/>
      <c r="I107" s="206">
        <v>0</v>
      </c>
      <c r="J107" s="206">
        <v>0</v>
      </c>
      <c r="K107" s="231"/>
      <c r="L107" s="231"/>
      <c r="M107" s="231"/>
      <c r="N107" s="231"/>
      <c r="O107" s="231"/>
      <c r="P107" s="231"/>
      <c r="Q107" s="231"/>
    </row>
    <row r="108" spans="1:17" ht="15.6" customHeight="1" x14ac:dyDescent="0.3">
      <c r="A108" s="208"/>
      <c r="B108" s="209"/>
      <c r="C108" s="216"/>
      <c r="D108" s="207"/>
      <c r="E108" s="207"/>
      <c r="I108" s="206"/>
      <c r="J108" s="206"/>
      <c r="K108" s="231"/>
      <c r="L108" s="231"/>
      <c r="M108" s="231"/>
      <c r="N108" s="231"/>
      <c r="O108" s="231"/>
      <c r="P108" s="231"/>
      <c r="Q108" s="231"/>
    </row>
    <row r="109" spans="1:17" ht="15.6" customHeight="1" x14ac:dyDescent="0.3">
      <c r="A109" s="210" t="s">
        <v>546</v>
      </c>
      <c r="B109" s="209"/>
      <c r="C109" s="207"/>
      <c r="D109" s="207"/>
      <c r="E109" s="207"/>
      <c r="I109" s="206"/>
      <c r="J109" s="206"/>
      <c r="K109" s="231"/>
      <c r="L109" s="231"/>
      <c r="M109" s="231"/>
      <c r="N109" s="231"/>
      <c r="O109" s="231"/>
      <c r="P109" s="231"/>
      <c r="Q109" s="231"/>
    </row>
    <row r="110" spans="1:17" ht="15.6" customHeight="1" x14ac:dyDescent="0.3">
      <c r="A110" s="210" t="s">
        <v>538</v>
      </c>
      <c r="B110" s="209"/>
      <c r="C110" s="255" t="s">
        <v>2</v>
      </c>
      <c r="D110" s="255"/>
      <c r="E110" s="255" t="s">
        <v>3</v>
      </c>
      <c r="I110" s="206"/>
      <c r="J110" s="206"/>
      <c r="K110" s="231"/>
      <c r="L110" s="231"/>
      <c r="M110" s="231"/>
      <c r="N110" s="231"/>
      <c r="O110" s="231"/>
      <c r="P110" s="231"/>
      <c r="Q110" s="231"/>
    </row>
    <row r="111" spans="1:17" ht="15.6" customHeight="1" x14ac:dyDescent="0.3">
      <c r="A111" s="238">
        <v>40404017</v>
      </c>
      <c r="B111" s="256" t="s">
        <v>412</v>
      </c>
      <c r="C111" s="206">
        <v>3330.92</v>
      </c>
      <c r="D111" s="251"/>
      <c r="E111" s="206">
        <v>3299.45</v>
      </c>
      <c r="H111" s="206"/>
      <c r="I111" s="206">
        <v>1.5</v>
      </c>
      <c r="J111" s="206">
        <v>1.5</v>
      </c>
      <c r="K111" s="231"/>
      <c r="L111" s="231"/>
      <c r="M111" s="231"/>
      <c r="N111" s="231"/>
      <c r="O111" s="231"/>
      <c r="P111" s="231"/>
      <c r="Q111" s="231"/>
    </row>
    <row r="112" spans="1:17" ht="15.6" customHeight="1" x14ac:dyDescent="0.3">
      <c r="A112" s="238">
        <v>40404018</v>
      </c>
      <c r="B112" s="256" t="s">
        <v>413</v>
      </c>
      <c r="C112" s="206">
        <v>3178.93</v>
      </c>
      <c r="D112" s="251"/>
      <c r="E112" s="206">
        <v>3148.82</v>
      </c>
      <c r="H112" s="206"/>
      <c r="I112" s="206">
        <v>1.5</v>
      </c>
      <c r="J112" s="206">
        <v>1.5</v>
      </c>
      <c r="K112" s="231"/>
      <c r="L112" s="231"/>
      <c r="M112" s="231"/>
      <c r="N112" s="231"/>
      <c r="O112" s="231"/>
      <c r="P112" s="231"/>
      <c r="Q112" s="231"/>
    </row>
    <row r="113" spans="1:17" ht="15.6" customHeight="1" x14ac:dyDescent="0.3">
      <c r="A113" s="238">
        <v>40404022</v>
      </c>
      <c r="B113" s="256" t="s">
        <v>381</v>
      </c>
      <c r="C113" s="206">
        <v>2682.87</v>
      </c>
      <c r="D113" s="251"/>
      <c r="E113" s="206">
        <v>2657.53</v>
      </c>
      <c r="H113" s="206"/>
      <c r="I113" s="206">
        <v>1.5</v>
      </c>
      <c r="J113" s="206">
        <v>1.5</v>
      </c>
      <c r="K113" s="231"/>
      <c r="L113" s="231"/>
      <c r="M113" s="231"/>
      <c r="N113" s="231"/>
      <c r="O113" s="231"/>
      <c r="P113" s="231"/>
      <c r="Q113" s="231"/>
    </row>
    <row r="114" spans="1:17" ht="15.6" customHeight="1" x14ac:dyDescent="0.3">
      <c r="A114" s="238">
        <v>40404023</v>
      </c>
      <c r="B114" s="256" t="s">
        <v>414</v>
      </c>
      <c r="C114" s="206">
        <v>2377.0300000000002</v>
      </c>
      <c r="D114" s="251"/>
      <c r="E114" s="206">
        <v>2355.04</v>
      </c>
      <c r="H114" s="206"/>
      <c r="I114" s="206">
        <v>1.5</v>
      </c>
      <c r="J114" s="206">
        <v>1.5</v>
      </c>
      <c r="K114" s="231"/>
      <c r="L114" s="231"/>
      <c r="M114" s="231"/>
      <c r="N114" s="231"/>
      <c r="O114" s="231"/>
      <c r="P114" s="231"/>
      <c r="Q114" s="231"/>
    </row>
    <row r="115" spans="1:17" ht="15.6" customHeight="1" x14ac:dyDescent="0.3">
      <c r="A115" s="238">
        <v>40407037</v>
      </c>
      <c r="B115" s="256" t="s">
        <v>415</v>
      </c>
      <c r="C115" s="206">
        <v>3330.92</v>
      </c>
      <c r="D115" s="251"/>
      <c r="E115" s="206">
        <v>3299.45</v>
      </c>
      <c r="H115" s="206"/>
      <c r="I115" s="206">
        <v>1.5</v>
      </c>
      <c r="J115" s="206">
        <v>1.5</v>
      </c>
      <c r="K115" s="231"/>
      <c r="L115" s="231"/>
      <c r="M115" s="231"/>
      <c r="N115" s="231"/>
      <c r="O115" s="231"/>
      <c r="P115" s="231"/>
      <c r="Q115" s="231"/>
    </row>
    <row r="116" spans="1:17" ht="15.6" customHeight="1" x14ac:dyDescent="0.3">
      <c r="A116" s="238">
        <v>40407039</v>
      </c>
      <c r="B116" s="256" t="s">
        <v>416</v>
      </c>
      <c r="C116" s="206">
        <v>2886.47</v>
      </c>
      <c r="D116" s="251"/>
      <c r="E116" s="206">
        <v>2859.16</v>
      </c>
      <c r="H116" s="206"/>
      <c r="I116" s="206">
        <v>1.5</v>
      </c>
      <c r="J116" s="206">
        <v>1.5</v>
      </c>
      <c r="K116" s="231"/>
      <c r="L116" s="231"/>
      <c r="M116" s="231"/>
      <c r="N116" s="231"/>
      <c r="O116" s="231"/>
      <c r="P116" s="231"/>
      <c r="Q116" s="231"/>
    </row>
    <row r="117" spans="1:17" ht="15.6" customHeight="1" x14ac:dyDescent="0.3">
      <c r="A117" s="238">
        <v>40407042</v>
      </c>
      <c r="B117" s="256" t="s">
        <v>417</v>
      </c>
      <c r="C117" s="206">
        <v>2564.2199999999998</v>
      </c>
      <c r="D117" s="251"/>
      <c r="E117" s="206">
        <v>2539.9699999999998</v>
      </c>
      <c r="H117" s="206"/>
      <c r="I117" s="206">
        <v>1.5</v>
      </c>
      <c r="J117" s="206">
        <v>1.5</v>
      </c>
      <c r="K117" s="231"/>
      <c r="L117" s="231"/>
      <c r="M117" s="231"/>
      <c r="N117" s="231"/>
      <c r="O117" s="231"/>
      <c r="P117" s="231"/>
      <c r="Q117" s="231"/>
    </row>
    <row r="118" spans="1:17" ht="15.6" customHeight="1" x14ac:dyDescent="0.3">
      <c r="A118" s="238">
        <v>40407041</v>
      </c>
      <c r="B118" s="256" t="s">
        <v>418</v>
      </c>
      <c r="C118" s="206">
        <v>2377.0300000000002</v>
      </c>
      <c r="D118" s="251"/>
      <c r="E118" s="206">
        <v>2355.04</v>
      </c>
      <c r="H118" s="206"/>
      <c r="I118" s="206">
        <v>1.5</v>
      </c>
      <c r="J118" s="206">
        <v>1.5</v>
      </c>
      <c r="K118" s="231"/>
      <c r="L118" s="231"/>
      <c r="M118" s="231"/>
      <c r="N118" s="231"/>
      <c r="O118" s="231"/>
      <c r="P118" s="231"/>
      <c r="Q118" s="231"/>
    </row>
    <row r="119" spans="1:17" ht="15.6" customHeight="1" x14ac:dyDescent="0.3">
      <c r="A119" s="208"/>
      <c r="B119" s="209"/>
      <c r="C119" s="207"/>
      <c r="D119" s="207"/>
      <c r="E119" s="207"/>
      <c r="I119" s="206"/>
      <c r="J119" s="206"/>
      <c r="K119" s="231"/>
      <c r="L119" s="231"/>
      <c r="M119" s="231"/>
      <c r="N119" s="231"/>
      <c r="O119" s="231"/>
      <c r="P119" s="231"/>
      <c r="Q119" s="231"/>
    </row>
    <row r="120" spans="1:17" ht="15.6" customHeight="1" x14ac:dyDescent="0.3">
      <c r="A120" s="210" t="s">
        <v>512</v>
      </c>
      <c r="B120" s="209"/>
      <c r="C120" s="258" t="s">
        <v>514</v>
      </c>
      <c r="E120" s="207"/>
      <c r="I120" s="206"/>
      <c r="J120" s="206"/>
      <c r="K120" s="231"/>
      <c r="L120" s="231"/>
      <c r="M120" s="231"/>
      <c r="N120" s="231"/>
      <c r="O120" s="231"/>
      <c r="P120" s="231"/>
      <c r="Q120" s="231"/>
    </row>
    <row r="121" spans="1:17" ht="15.6" customHeight="1" x14ac:dyDescent="0.3">
      <c r="A121" s="208"/>
      <c r="B121" s="259" t="s">
        <v>547</v>
      </c>
      <c r="C121" s="206">
        <v>126.44</v>
      </c>
      <c r="E121" s="207"/>
      <c r="H121" s="206"/>
      <c r="I121" s="206">
        <v>1.5</v>
      </c>
      <c r="J121" s="206">
        <v>1.5</v>
      </c>
      <c r="K121" s="231"/>
      <c r="L121" s="231"/>
      <c r="M121" s="231"/>
      <c r="N121" s="231"/>
      <c r="O121" s="231"/>
      <c r="P121" s="231"/>
      <c r="Q121" s="231"/>
    </row>
    <row r="122" spans="1:17" ht="15.6" customHeight="1" x14ac:dyDescent="0.3">
      <c r="A122" s="208"/>
      <c r="B122" s="259" t="s">
        <v>548</v>
      </c>
      <c r="C122" s="206">
        <v>42.22</v>
      </c>
      <c r="E122" s="207"/>
      <c r="H122" s="206"/>
      <c r="I122" s="206">
        <v>1.5</v>
      </c>
      <c r="J122" s="206">
        <v>1.5</v>
      </c>
      <c r="K122" s="231"/>
      <c r="L122" s="231"/>
      <c r="M122" s="231"/>
      <c r="N122" s="231"/>
      <c r="O122" s="231"/>
      <c r="P122" s="231"/>
      <c r="Q122" s="231"/>
    </row>
    <row r="123" spans="1:17" ht="15.6" customHeight="1" x14ac:dyDescent="0.3">
      <c r="A123" s="208"/>
      <c r="B123" s="259" t="s">
        <v>549</v>
      </c>
      <c r="C123" s="206">
        <v>42.22</v>
      </c>
      <c r="E123" s="207"/>
      <c r="H123" s="206"/>
      <c r="I123" s="206">
        <v>1.5</v>
      </c>
      <c r="J123" s="206">
        <v>1.5</v>
      </c>
      <c r="K123" s="231"/>
      <c r="L123" s="231"/>
      <c r="M123" s="231"/>
      <c r="N123" s="231"/>
      <c r="O123" s="231"/>
      <c r="P123" s="231"/>
      <c r="Q123" s="231"/>
    </row>
    <row r="124" spans="1:17" ht="15.6" customHeight="1" x14ac:dyDescent="0.3">
      <c r="A124" s="208"/>
      <c r="B124" s="260"/>
      <c r="C124" s="206"/>
      <c r="E124" s="207"/>
      <c r="I124" s="206"/>
      <c r="J124" s="206"/>
      <c r="K124" s="231"/>
      <c r="L124" s="231"/>
      <c r="M124" s="231"/>
      <c r="N124" s="231"/>
      <c r="O124" s="231"/>
      <c r="P124" s="231"/>
      <c r="Q124" s="231"/>
    </row>
    <row r="125" spans="1:17" ht="15.6" customHeight="1" x14ac:dyDescent="0.3">
      <c r="A125" s="208"/>
      <c r="B125" s="209"/>
      <c r="C125" s="207"/>
      <c r="D125" s="207"/>
      <c r="E125" s="207"/>
      <c r="I125" s="206"/>
      <c r="J125" s="206"/>
      <c r="K125" s="231"/>
      <c r="L125" s="231"/>
      <c r="M125" s="231"/>
      <c r="N125" s="231"/>
      <c r="O125" s="231"/>
      <c r="P125" s="231"/>
      <c r="Q125" s="231"/>
    </row>
    <row r="126" spans="1:17" ht="15.6" customHeight="1" x14ac:dyDescent="0.3">
      <c r="A126" s="210" t="s">
        <v>550</v>
      </c>
      <c r="B126" s="209"/>
      <c r="C126" s="207"/>
      <c r="D126" s="207"/>
      <c r="E126" s="207"/>
      <c r="I126" s="206"/>
      <c r="J126" s="206"/>
      <c r="K126" s="231"/>
      <c r="L126" s="231"/>
      <c r="M126" s="231"/>
      <c r="N126" s="231"/>
      <c r="O126" s="231"/>
      <c r="P126" s="231"/>
      <c r="Q126" s="231"/>
    </row>
    <row r="127" spans="1:17" ht="15.6" customHeight="1" x14ac:dyDescent="0.3">
      <c r="A127" s="210" t="s">
        <v>538</v>
      </c>
      <c r="B127" s="209"/>
      <c r="C127" s="255" t="s">
        <v>2</v>
      </c>
      <c r="D127" s="255"/>
      <c r="E127" s="255" t="s">
        <v>3</v>
      </c>
      <c r="I127" s="206"/>
      <c r="J127" s="206"/>
      <c r="K127" s="231"/>
      <c r="L127" s="231"/>
      <c r="M127" s="231"/>
      <c r="N127" s="231"/>
      <c r="O127" s="231"/>
      <c r="P127" s="231"/>
      <c r="Q127" s="231"/>
    </row>
    <row r="128" spans="1:17" ht="15.6" customHeight="1" x14ac:dyDescent="0.3">
      <c r="A128" s="238">
        <v>40404024</v>
      </c>
      <c r="B128" s="256" t="s">
        <v>419</v>
      </c>
      <c r="C128" s="206">
        <v>3330.92</v>
      </c>
      <c r="D128" s="251"/>
      <c r="E128" s="206">
        <v>3299.45</v>
      </c>
      <c r="H128" s="206"/>
      <c r="I128" s="206">
        <v>1.5</v>
      </c>
      <c r="J128" s="206">
        <v>1.5</v>
      </c>
      <c r="K128" s="231"/>
      <c r="L128" s="231"/>
      <c r="M128" s="231"/>
      <c r="N128" s="231"/>
      <c r="O128" s="231"/>
      <c r="P128" s="231"/>
      <c r="Q128" s="231"/>
    </row>
    <row r="129" spans="1:17" ht="15.6" customHeight="1" x14ac:dyDescent="0.3">
      <c r="A129" s="238">
        <v>40404025</v>
      </c>
      <c r="B129" s="256" t="s">
        <v>420</v>
      </c>
      <c r="C129" s="206">
        <v>3175.83</v>
      </c>
      <c r="D129" s="251"/>
      <c r="E129" s="206">
        <v>3145.76</v>
      </c>
      <c r="H129" s="206"/>
      <c r="I129" s="206">
        <v>1.5</v>
      </c>
      <c r="J129" s="206">
        <v>1.5</v>
      </c>
      <c r="K129" s="231"/>
      <c r="L129" s="231"/>
      <c r="M129" s="231"/>
      <c r="N129" s="231"/>
      <c r="O129" s="231"/>
      <c r="P129" s="231"/>
      <c r="Q129" s="231"/>
    </row>
    <row r="130" spans="1:17" ht="15.6" customHeight="1" x14ac:dyDescent="0.3">
      <c r="A130" s="238">
        <v>40404027</v>
      </c>
      <c r="B130" s="256" t="s">
        <v>189</v>
      </c>
      <c r="C130" s="206">
        <v>2685.54</v>
      </c>
      <c r="D130" s="251"/>
      <c r="E130" s="206">
        <v>2660.18</v>
      </c>
      <c r="H130" s="206"/>
      <c r="I130" s="206">
        <v>1.5</v>
      </c>
      <c r="J130" s="206">
        <v>1.5</v>
      </c>
      <c r="K130" s="231"/>
      <c r="L130" s="231"/>
      <c r="M130" s="231"/>
      <c r="N130" s="231"/>
      <c r="O130" s="231"/>
      <c r="P130" s="231"/>
      <c r="Q130" s="231"/>
    </row>
    <row r="131" spans="1:17" ht="15.6" customHeight="1" x14ac:dyDescent="0.3">
      <c r="A131" s="238">
        <v>40404026</v>
      </c>
      <c r="B131" s="256" t="s">
        <v>421</v>
      </c>
      <c r="C131" s="206">
        <v>2378.1999999999998</v>
      </c>
      <c r="D131" s="251"/>
      <c r="E131" s="206">
        <v>2356.19</v>
      </c>
      <c r="H131" s="206"/>
      <c r="I131" s="206">
        <v>1.5</v>
      </c>
      <c r="J131" s="206">
        <v>1.5</v>
      </c>
      <c r="K131" s="231"/>
      <c r="L131" s="231"/>
      <c r="M131" s="231"/>
      <c r="N131" s="231"/>
      <c r="O131" s="231"/>
      <c r="P131" s="231"/>
      <c r="Q131" s="231"/>
    </row>
    <row r="132" spans="1:17" ht="15.6" customHeight="1" x14ac:dyDescent="0.3">
      <c r="A132" s="238">
        <v>40407050</v>
      </c>
      <c r="B132" s="256" t="s">
        <v>415</v>
      </c>
      <c r="C132" s="206">
        <v>3330.92</v>
      </c>
      <c r="D132" s="251"/>
      <c r="E132" s="206">
        <v>3299.45</v>
      </c>
      <c r="H132" s="206"/>
      <c r="I132" s="206">
        <v>1.5</v>
      </c>
      <c r="J132" s="206">
        <v>1.5</v>
      </c>
      <c r="K132" s="231"/>
      <c r="L132" s="231"/>
      <c r="M132" s="231"/>
      <c r="N132" s="231"/>
      <c r="O132" s="231"/>
      <c r="P132" s="231"/>
      <c r="Q132" s="231"/>
    </row>
    <row r="133" spans="1:17" ht="15.6" customHeight="1" x14ac:dyDescent="0.3">
      <c r="A133" s="238">
        <v>40407051</v>
      </c>
      <c r="B133" s="256" t="s">
        <v>422</v>
      </c>
      <c r="C133" s="206">
        <v>2886.47</v>
      </c>
      <c r="D133" s="251"/>
      <c r="E133" s="206">
        <v>2859.16</v>
      </c>
      <c r="H133" s="206"/>
      <c r="I133" s="206">
        <v>1.5</v>
      </c>
      <c r="J133" s="206">
        <v>1.5</v>
      </c>
      <c r="K133" s="231"/>
      <c r="L133" s="231"/>
      <c r="M133" s="231"/>
      <c r="N133" s="231"/>
      <c r="O133" s="231"/>
      <c r="P133" s="231"/>
      <c r="Q133" s="231"/>
    </row>
    <row r="134" spans="1:17" ht="15.6" customHeight="1" x14ac:dyDescent="0.3">
      <c r="A134" s="238">
        <v>40407053</v>
      </c>
      <c r="B134" s="256" t="s">
        <v>417</v>
      </c>
      <c r="C134" s="206">
        <v>2564.2199999999998</v>
      </c>
      <c r="D134" s="251"/>
      <c r="E134" s="206">
        <v>2539.9699999999998</v>
      </c>
      <c r="H134" s="206"/>
      <c r="I134" s="206">
        <v>1.5</v>
      </c>
      <c r="J134" s="206">
        <v>1.5</v>
      </c>
      <c r="K134" s="231"/>
      <c r="L134" s="231"/>
      <c r="M134" s="231"/>
      <c r="N134" s="231"/>
      <c r="O134" s="231"/>
      <c r="P134" s="231"/>
      <c r="Q134" s="231"/>
    </row>
    <row r="135" spans="1:17" ht="15.6" customHeight="1" x14ac:dyDescent="0.3">
      <c r="A135" s="238">
        <v>40407054</v>
      </c>
      <c r="B135" s="256" t="s">
        <v>423</v>
      </c>
      <c r="C135" s="206">
        <v>2377.0300000000002</v>
      </c>
      <c r="D135" s="251"/>
      <c r="E135" s="206">
        <v>2355.04</v>
      </c>
      <c r="H135" s="206"/>
      <c r="I135" s="206">
        <v>1.5</v>
      </c>
      <c r="J135" s="206">
        <v>1.5</v>
      </c>
      <c r="K135" s="231"/>
      <c r="L135" s="231"/>
      <c r="M135" s="231"/>
      <c r="N135" s="231"/>
      <c r="O135" s="231"/>
      <c r="P135" s="231"/>
      <c r="Q135" s="231"/>
    </row>
    <row r="136" spans="1:17" ht="15.6" customHeight="1" x14ac:dyDescent="0.3">
      <c r="A136" s="208"/>
      <c r="B136" s="209"/>
      <c r="C136" s="207"/>
      <c r="D136" s="207"/>
      <c r="E136" s="207"/>
      <c r="I136" s="206"/>
      <c r="J136" s="206"/>
      <c r="K136" s="231"/>
      <c r="L136" s="231"/>
      <c r="M136" s="231"/>
      <c r="N136" s="231"/>
      <c r="O136" s="231"/>
      <c r="P136" s="231"/>
      <c r="Q136" s="231"/>
    </row>
    <row r="137" spans="1:17" ht="15.6" customHeight="1" x14ac:dyDescent="0.3">
      <c r="A137" s="210" t="s">
        <v>512</v>
      </c>
      <c r="B137" s="209"/>
      <c r="C137" s="216" t="s">
        <v>514</v>
      </c>
      <c r="E137" s="207"/>
      <c r="I137" s="206"/>
      <c r="J137" s="206"/>
      <c r="K137" s="231"/>
      <c r="L137" s="231"/>
      <c r="M137" s="231"/>
      <c r="N137" s="231"/>
      <c r="O137" s="231"/>
      <c r="P137" s="231"/>
      <c r="Q137" s="231"/>
    </row>
    <row r="138" spans="1:17" ht="15.6" customHeight="1" x14ac:dyDescent="0.3">
      <c r="A138" s="208"/>
      <c r="B138" s="256" t="s">
        <v>551</v>
      </c>
      <c r="C138" s="206">
        <v>126.44</v>
      </c>
      <c r="E138" s="207"/>
      <c r="H138" s="206"/>
      <c r="I138" s="206">
        <v>1.5</v>
      </c>
      <c r="J138" s="206">
        <v>1.5</v>
      </c>
      <c r="K138" s="231"/>
      <c r="L138" s="231"/>
      <c r="M138" s="231"/>
      <c r="N138" s="231"/>
      <c r="O138" s="231"/>
      <c r="P138" s="231"/>
      <c r="Q138" s="231"/>
    </row>
    <row r="139" spans="1:17" ht="15.6" customHeight="1" x14ac:dyDescent="0.3">
      <c r="A139" s="208"/>
      <c r="B139" s="256" t="s">
        <v>552</v>
      </c>
      <c r="C139" s="206">
        <v>42.22</v>
      </c>
      <c r="E139" s="207"/>
      <c r="H139" s="206"/>
      <c r="I139" s="206">
        <v>1.5</v>
      </c>
      <c r="J139" s="206">
        <v>1.5</v>
      </c>
      <c r="K139" s="231"/>
      <c r="L139" s="231"/>
      <c r="M139" s="231"/>
      <c r="N139" s="231"/>
      <c r="O139" s="231"/>
      <c r="P139" s="231"/>
      <c r="Q139" s="231"/>
    </row>
    <row r="140" spans="1:17" ht="15.6" customHeight="1" x14ac:dyDescent="0.3">
      <c r="A140" s="208"/>
      <c r="B140" s="256" t="s">
        <v>553</v>
      </c>
      <c r="C140" s="206">
        <v>42.22</v>
      </c>
      <c r="E140" s="207"/>
      <c r="H140" s="206"/>
      <c r="I140" s="206">
        <v>1.5</v>
      </c>
      <c r="J140" s="206">
        <v>1.5</v>
      </c>
      <c r="K140" s="231"/>
      <c r="L140" s="231"/>
      <c r="M140" s="231"/>
      <c r="N140" s="231"/>
      <c r="O140" s="231"/>
      <c r="P140" s="231"/>
      <c r="Q140" s="231"/>
    </row>
    <row r="141" spans="1:17" ht="15.6" customHeight="1" x14ac:dyDescent="0.3">
      <c r="A141" s="208"/>
      <c r="B141" s="209"/>
      <c r="C141" s="207"/>
      <c r="D141" s="207"/>
      <c r="E141" s="207"/>
      <c r="I141" s="206"/>
      <c r="J141" s="206"/>
      <c r="K141" s="231"/>
      <c r="L141" s="231"/>
      <c r="M141" s="231"/>
      <c r="N141" s="231"/>
      <c r="O141" s="231"/>
      <c r="P141" s="231"/>
      <c r="Q141" s="231"/>
    </row>
    <row r="142" spans="1:17" ht="15.6" customHeight="1" x14ac:dyDescent="0.3">
      <c r="A142" s="210" t="s">
        <v>554</v>
      </c>
      <c r="B142" s="209"/>
      <c r="C142" s="207"/>
      <c r="D142" s="207"/>
      <c r="E142" s="207"/>
      <c r="I142" s="206"/>
      <c r="J142" s="206"/>
      <c r="K142" s="231"/>
      <c r="L142" s="231"/>
      <c r="M142" s="231"/>
      <c r="N142" s="231"/>
      <c r="O142" s="231"/>
      <c r="P142" s="231"/>
      <c r="Q142" s="231"/>
    </row>
    <row r="143" spans="1:17" ht="15.6" customHeight="1" x14ac:dyDescent="0.3">
      <c r="A143" s="210" t="s">
        <v>538</v>
      </c>
      <c r="B143" s="209"/>
      <c r="C143" s="261" t="s">
        <v>2</v>
      </c>
      <c r="D143" s="261"/>
      <c r="E143" s="261" t="s">
        <v>3</v>
      </c>
      <c r="I143" s="206"/>
      <c r="J143" s="206"/>
      <c r="K143" s="231"/>
      <c r="L143" s="231"/>
      <c r="M143" s="231"/>
      <c r="N143" s="231"/>
      <c r="O143" s="231"/>
      <c r="P143" s="231"/>
      <c r="Q143" s="231"/>
    </row>
    <row r="144" spans="1:17" ht="15.6" customHeight="1" x14ac:dyDescent="0.3">
      <c r="A144" s="238">
        <v>40901024</v>
      </c>
      <c r="B144" s="256" t="s">
        <v>424</v>
      </c>
      <c r="C144" s="206">
        <v>4339.8900000000003</v>
      </c>
      <c r="D144" s="251"/>
      <c r="E144" s="206">
        <v>4298.3</v>
      </c>
      <c r="H144" s="262"/>
      <c r="I144" s="206">
        <v>1.5</v>
      </c>
      <c r="J144" s="206">
        <v>1.5</v>
      </c>
      <c r="K144" s="231"/>
      <c r="L144" s="231"/>
      <c r="M144" s="231"/>
      <c r="N144" s="231"/>
      <c r="O144" s="231"/>
      <c r="P144" s="231"/>
      <c r="Q144" s="231"/>
    </row>
    <row r="145" spans="1:17" ht="15.6" customHeight="1" x14ac:dyDescent="0.3">
      <c r="A145" s="238">
        <v>40003001</v>
      </c>
      <c r="B145" s="256" t="s">
        <v>425</v>
      </c>
      <c r="C145" s="206">
        <v>4121.25</v>
      </c>
      <c r="D145" s="251"/>
      <c r="E145" s="206">
        <v>4081.64</v>
      </c>
      <c r="H145" s="206"/>
      <c r="I145" s="206">
        <v>1.5</v>
      </c>
      <c r="J145" s="206">
        <v>1.5</v>
      </c>
      <c r="K145" s="231"/>
      <c r="L145" s="231"/>
      <c r="M145" s="231"/>
      <c r="N145" s="231"/>
      <c r="O145" s="231"/>
      <c r="P145" s="231"/>
      <c r="Q145" s="231"/>
    </row>
    <row r="146" spans="1:17" ht="15.6" customHeight="1" x14ac:dyDescent="0.3">
      <c r="A146" s="238">
        <v>40003002</v>
      </c>
      <c r="B146" s="256" t="s">
        <v>191</v>
      </c>
      <c r="C146" s="206">
        <v>3978.63</v>
      </c>
      <c r="D146" s="251"/>
      <c r="E146" s="206">
        <v>3940.08</v>
      </c>
      <c r="H146" s="206"/>
      <c r="I146" s="206">
        <v>1.5</v>
      </c>
      <c r="J146" s="206">
        <v>1.5</v>
      </c>
      <c r="K146" s="231"/>
      <c r="L146" s="231"/>
      <c r="M146" s="231"/>
      <c r="N146" s="231"/>
      <c r="O146" s="231"/>
      <c r="P146" s="231"/>
      <c r="Q146" s="231"/>
    </row>
    <row r="147" spans="1:17" ht="15.6" customHeight="1" x14ac:dyDescent="0.3">
      <c r="A147" s="210"/>
      <c r="B147" s="209"/>
      <c r="C147" s="207"/>
      <c r="D147" s="207"/>
      <c r="E147" s="207"/>
      <c r="I147" s="206"/>
      <c r="J147" s="206"/>
      <c r="K147" s="231"/>
      <c r="L147" s="231"/>
      <c r="M147" s="231"/>
      <c r="N147" s="231"/>
      <c r="O147" s="231"/>
      <c r="P147" s="231"/>
      <c r="Q147" s="231"/>
    </row>
    <row r="148" spans="1:17" ht="15.6" customHeight="1" x14ac:dyDescent="0.3">
      <c r="A148" s="210" t="s">
        <v>538</v>
      </c>
      <c r="B148" s="209"/>
      <c r="C148" s="207"/>
      <c r="D148" s="207"/>
      <c r="E148" s="207"/>
      <c r="I148" s="206"/>
      <c r="J148" s="206"/>
      <c r="K148" s="231"/>
      <c r="L148" s="231"/>
      <c r="M148" s="231"/>
      <c r="N148" s="231"/>
      <c r="O148" s="231"/>
      <c r="P148" s="231"/>
      <c r="Q148" s="231"/>
    </row>
    <row r="149" spans="1:17" ht="15.6" customHeight="1" x14ac:dyDescent="0.3">
      <c r="A149" s="263">
        <v>41103003</v>
      </c>
      <c r="B149" s="257" t="s">
        <v>555</v>
      </c>
      <c r="C149" s="261" t="s">
        <v>2</v>
      </c>
      <c r="D149" s="261"/>
      <c r="E149" s="261" t="s">
        <v>3</v>
      </c>
      <c r="I149" s="206"/>
      <c r="J149" s="206"/>
      <c r="K149" s="231"/>
      <c r="L149" s="231"/>
      <c r="M149" s="231"/>
      <c r="N149" s="231"/>
      <c r="O149" s="231"/>
      <c r="P149" s="231"/>
      <c r="Q149" s="231"/>
    </row>
    <row r="150" spans="1:17" ht="15.6" customHeight="1" x14ac:dyDescent="0.3">
      <c r="A150" s="210"/>
      <c r="B150" s="257" t="s">
        <v>556</v>
      </c>
      <c r="C150" s="206">
        <v>3742.6</v>
      </c>
      <c r="D150" s="251"/>
      <c r="E150" s="206">
        <v>3707.05</v>
      </c>
      <c r="F150" s="206"/>
      <c r="H150" s="205"/>
      <c r="I150" s="206">
        <v>1.5</v>
      </c>
      <c r="J150" s="206">
        <v>1.5</v>
      </c>
      <c r="K150" s="231"/>
      <c r="L150" s="231"/>
      <c r="M150" s="231"/>
      <c r="N150" s="231"/>
      <c r="O150" s="231"/>
      <c r="P150" s="231"/>
      <c r="Q150" s="231"/>
    </row>
    <row r="151" spans="1:17" ht="15.6" customHeight="1" x14ac:dyDescent="0.3">
      <c r="A151" s="210"/>
      <c r="B151" s="209" t="s">
        <v>98</v>
      </c>
      <c r="C151" s="206">
        <v>3949.61</v>
      </c>
      <c r="D151" s="251"/>
      <c r="E151" s="206">
        <v>3912.1</v>
      </c>
      <c r="I151" s="206">
        <v>1.5</v>
      </c>
      <c r="J151" s="206">
        <v>1.5</v>
      </c>
      <c r="K151" s="231"/>
      <c r="L151" s="231"/>
      <c r="M151" s="231"/>
      <c r="N151" s="231"/>
      <c r="O151" s="231"/>
      <c r="P151" s="231"/>
      <c r="Q151" s="231"/>
    </row>
    <row r="152" spans="1:17" ht="15.6" customHeight="1" x14ac:dyDescent="0.3">
      <c r="A152" s="210"/>
      <c r="B152" s="256" t="s">
        <v>99</v>
      </c>
      <c r="C152" s="206">
        <v>4095.89</v>
      </c>
      <c r="D152" s="251"/>
      <c r="E152" s="206">
        <v>4057.03</v>
      </c>
      <c r="I152" s="206">
        <v>1.5</v>
      </c>
      <c r="J152" s="206">
        <v>1.5</v>
      </c>
      <c r="K152" s="231"/>
      <c r="L152" s="231"/>
      <c r="M152" s="231"/>
      <c r="N152" s="231"/>
      <c r="O152" s="231"/>
      <c r="P152" s="231"/>
      <c r="Q152" s="231"/>
    </row>
    <row r="153" spans="1:17" ht="15.6" customHeight="1" x14ac:dyDescent="0.3">
      <c r="A153" s="210"/>
      <c r="B153" s="257" t="s">
        <v>100</v>
      </c>
      <c r="C153" s="206">
        <v>4324.1099999999997</v>
      </c>
      <c r="D153" s="251"/>
      <c r="E153" s="206">
        <v>4283.07</v>
      </c>
      <c r="I153" s="206">
        <v>1.5</v>
      </c>
      <c r="J153" s="206">
        <v>1.5</v>
      </c>
      <c r="K153" s="231"/>
      <c r="L153" s="231"/>
      <c r="M153" s="231"/>
      <c r="N153" s="231"/>
      <c r="O153" s="231"/>
      <c r="P153" s="231"/>
      <c r="Q153" s="231"/>
    </row>
    <row r="154" spans="1:17" ht="15.6" customHeight="1" x14ac:dyDescent="0.3">
      <c r="A154" s="210"/>
      <c r="B154" s="209" t="s">
        <v>101</v>
      </c>
      <c r="C154" s="206">
        <v>4566.0200000000004</v>
      </c>
      <c r="D154" s="251"/>
      <c r="E154" s="206">
        <v>4522.7</v>
      </c>
      <c r="I154" s="206">
        <v>1.5</v>
      </c>
      <c r="J154" s="206">
        <v>1.5</v>
      </c>
      <c r="K154" s="231"/>
      <c r="L154" s="231"/>
      <c r="M154" s="231"/>
      <c r="N154" s="231"/>
      <c r="O154" s="231"/>
      <c r="P154" s="231"/>
      <c r="Q154" s="231"/>
    </row>
    <row r="155" spans="1:17" ht="15.6" customHeight="1" x14ac:dyDescent="0.3">
      <c r="A155" s="210"/>
      <c r="B155" s="256" t="s">
        <v>102</v>
      </c>
      <c r="C155" s="206">
        <v>4822.47</v>
      </c>
      <c r="D155" s="251"/>
      <c r="E155" s="206">
        <v>4776.68</v>
      </c>
      <c r="I155" s="206">
        <v>1.5</v>
      </c>
      <c r="J155" s="206">
        <v>1.5</v>
      </c>
      <c r="K155" s="231"/>
      <c r="L155" s="231"/>
      <c r="M155" s="231"/>
      <c r="N155" s="231"/>
      <c r="O155" s="231"/>
      <c r="P155" s="231"/>
      <c r="Q155" s="231"/>
    </row>
    <row r="156" spans="1:17" ht="15.6" customHeight="1" x14ac:dyDescent="0.3">
      <c r="A156" s="263">
        <v>41103004</v>
      </c>
      <c r="B156" s="256" t="s">
        <v>192</v>
      </c>
      <c r="C156" s="242"/>
      <c r="D156" s="242"/>
      <c r="E156" s="242"/>
      <c r="I156" s="206"/>
      <c r="J156" s="206"/>
      <c r="K156" s="231"/>
      <c r="L156" s="231"/>
      <c r="M156" s="231"/>
      <c r="N156" s="231"/>
      <c r="O156" s="231"/>
      <c r="P156" s="231"/>
      <c r="Q156" s="231"/>
    </row>
    <row r="157" spans="1:17" ht="15.6" customHeight="1" x14ac:dyDescent="0.3">
      <c r="B157" s="257" t="s">
        <v>556</v>
      </c>
      <c r="C157" s="206">
        <v>3429.14</v>
      </c>
      <c r="D157" s="251"/>
      <c r="E157" s="206">
        <v>3396.1</v>
      </c>
      <c r="G157" s="205"/>
      <c r="H157" s="205"/>
      <c r="I157" s="206">
        <v>1.5</v>
      </c>
      <c r="J157" s="206">
        <v>1.5</v>
      </c>
      <c r="K157" s="231"/>
      <c r="L157" s="231"/>
      <c r="M157" s="231"/>
      <c r="N157" s="231"/>
      <c r="O157" s="231"/>
      <c r="P157" s="231"/>
      <c r="Q157" s="231"/>
    </row>
    <row r="158" spans="1:17" ht="15.6" customHeight="1" x14ac:dyDescent="0.3">
      <c r="A158" s="210"/>
      <c r="B158" s="260" t="s">
        <v>98</v>
      </c>
      <c r="C158" s="206">
        <v>3497.71</v>
      </c>
      <c r="D158" s="251"/>
      <c r="E158" s="206">
        <v>3464.01</v>
      </c>
      <c r="I158" s="206">
        <v>1.5</v>
      </c>
      <c r="J158" s="206">
        <v>1.5</v>
      </c>
      <c r="K158" s="231"/>
      <c r="L158" s="231"/>
      <c r="M158" s="231"/>
      <c r="N158" s="231"/>
      <c r="O158" s="231"/>
      <c r="P158" s="231"/>
      <c r="Q158" s="231"/>
    </row>
    <row r="159" spans="1:17" ht="15.6" customHeight="1" x14ac:dyDescent="0.3">
      <c r="A159" s="210"/>
      <c r="B159" s="256" t="s">
        <v>99</v>
      </c>
      <c r="C159" s="206">
        <v>3602.64</v>
      </c>
      <c r="D159" s="251"/>
      <c r="E159" s="206">
        <v>3567.94</v>
      </c>
      <c r="I159" s="206">
        <v>1.5</v>
      </c>
      <c r="J159" s="206">
        <v>1.5</v>
      </c>
      <c r="K159" s="231"/>
      <c r="L159" s="231"/>
      <c r="M159" s="231"/>
      <c r="N159" s="231"/>
      <c r="O159" s="231"/>
      <c r="P159" s="231"/>
      <c r="Q159" s="231"/>
    </row>
    <row r="160" spans="1:17" ht="15.6" customHeight="1" x14ac:dyDescent="0.3">
      <c r="A160" s="210"/>
      <c r="B160" s="209" t="s">
        <v>100</v>
      </c>
      <c r="C160" s="206">
        <v>3782.76</v>
      </c>
      <c r="D160" s="251"/>
      <c r="E160" s="206">
        <v>3746.37</v>
      </c>
      <c r="I160" s="206">
        <v>1.5</v>
      </c>
      <c r="J160" s="206">
        <v>1.5</v>
      </c>
      <c r="K160" s="231"/>
      <c r="L160" s="231"/>
      <c r="M160" s="231"/>
      <c r="N160" s="231"/>
      <c r="O160" s="231"/>
      <c r="P160" s="231"/>
      <c r="Q160" s="231"/>
    </row>
    <row r="161" spans="1:18" ht="15.6" customHeight="1" x14ac:dyDescent="0.3">
      <c r="A161" s="210"/>
      <c r="B161" s="260" t="s">
        <v>101</v>
      </c>
      <c r="C161" s="206">
        <v>4083.74</v>
      </c>
      <c r="D161" s="251"/>
      <c r="E161" s="206">
        <v>4044.41</v>
      </c>
      <c r="I161" s="206">
        <v>1.5</v>
      </c>
      <c r="J161" s="206">
        <v>1.5</v>
      </c>
      <c r="K161" s="231"/>
      <c r="L161" s="231"/>
      <c r="M161" s="231"/>
      <c r="N161" s="231"/>
      <c r="O161" s="231"/>
      <c r="P161" s="231"/>
      <c r="Q161" s="231"/>
    </row>
    <row r="162" spans="1:18" ht="15.6" customHeight="1" x14ac:dyDescent="0.3">
      <c r="A162" s="210"/>
      <c r="B162" s="256" t="s">
        <v>102</v>
      </c>
      <c r="C162" s="206">
        <v>4247.09</v>
      </c>
      <c r="D162" s="251"/>
      <c r="E162" s="206">
        <v>4206.1899999999996</v>
      </c>
      <c r="I162" s="206">
        <v>1.5</v>
      </c>
      <c r="J162" s="206">
        <v>1.5</v>
      </c>
      <c r="K162" s="231"/>
      <c r="L162" s="231"/>
      <c r="M162" s="231"/>
      <c r="N162" s="231"/>
      <c r="O162" s="231"/>
      <c r="P162" s="231"/>
      <c r="Q162" s="231"/>
    </row>
    <row r="163" spans="1:18" ht="15.6" customHeight="1" x14ac:dyDescent="0.3">
      <c r="A163" s="208">
        <v>41104001</v>
      </c>
      <c r="B163" s="209" t="s">
        <v>427</v>
      </c>
      <c r="C163" s="206"/>
      <c r="D163" s="206"/>
      <c r="E163" s="206"/>
      <c r="I163" s="206"/>
      <c r="J163" s="206"/>
      <c r="K163" s="231"/>
      <c r="L163" s="231"/>
      <c r="M163" s="231"/>
      <c r="N163" s="231"/>
      <c r="O163" s="231"/>
      <c r="P163" s="231"/>
      <c r="Q163" s="231"/>
    </row>
    <row r="164" spans="1:18" ht="15.6" customHeight="1" x14ac:dyDescent="0.3">
      <c r="A164" s="263">
        <v>41107001</v>
      </c>
      <c r="B164" s="257" t="s">
        <v>428</v>
      </c>
      <c r="C164" s="242"/>
      <c r="D164" s="242"/>
      <c r="E164" s="242"/>
      <c r="I164" s="206"/>
      <c r="J164" s="206"/>
      <c r="K164" s="231"/>
      <c r="L164" s="231"/>
      <c r="M164" s="231"/>
      <c r="N164" s="231"/>
      <c r="O164" s="231"/>
      <c r="P164" s="231"/>
      <c r="Q164" s="231"/>
    </row>
    <row r="165" spans="1:18" ht="15.6" customHeight="1" x14ac:dyDescent="0.3">
      <c r="A165" s="208"/>
      <c r="B165" s="209" t="s">
        <v>556</v>
      </c>
      <c r="C165" s="206">
        <v>3742.6</v>
      </c>
      <c r="D165" s="251"/>
      <c r="E165" s="206">
        <v>3707.05</v>
      </c>
      <c r="I165" s="206">
        <v>1.5</v>
      </c>
      <c r="J165" s="206">
        <v>1.5</v>
      </c>
      <c r="K165" s="231"/>
      <c r="L165" s="231"/>
      <c r="M165" s="231"/>
      <c r="N165" s="231"/>
      <c r="O165" s="231"/>
      <c r="P165" s="231"/>
      <c r="Q165" s="231"/>
    </row>
    <row r="166" spans="1:18" ht="15.6" customHeight="1" x14ac:dyDescent="0.3">
      <c r="A166" s="208"/>
      <c r="B166" s="260" t="s">
        <v>98</v>
      </c>
      <c r="C166" s="206">
        <v>3949.61</v>
      </c>
      <c r="D166" s="251"/>
      <c r="E166" s="206">
        <v>3912.1</v>
      </c>
      <c r="I166" s="206">
        <v>1.5</v>
      </c>
      <c r="J166" s="206">
        <v>1.5</v>
      </c>
      <c r="K166" s="231"/>
      <c r="L166" s="231"/>
      <c r="M166" s="231"/>
      <c r="N166" s="231"/>
      <c r="O166" s="231"/>
      <c r="P166" s="231"/>
      <c r="Q166" s="231"/>
    </row>
    <row r="167" spans="1:18" ht="15.6" customHeight="1" x14ac:dyDescent="0.3">
      <c r="A167" s="208"/>
      <c r="B167" s="256" t="s">
        <v>99</v>
      </c>
      <c r="C167" s="206">
        <v>4095.89</v>
      </c>
      <c r="D167" s="251"/>
      <c r="E167" s="206">
        <v>4057.03</v>
      </c>
      <c r="I167" s="206">
        <v>1.5</v>
      </c>
      <c r="J167" s="206">
        <v>1.5</v>
      </c>
      <c r="K167" s="231"/>
      <c r="L167" s="231"/>
      <c r="M167" s="231"/>
      <c r="N167" s="231"/>
      <c r="O167" s="231"/>
      <c r="P167" s="231"/>
      <c r="Q167" s="231"/>
    </row>
    <row r="168" spans="1:18" ht="15.6" customHeight="1" x14ac:dyDescent="0.3">
      <c r="A168" s="208"/>
      <c r="B168" s="256" t="s">
        <v>100</v>
      </c>
      <c r="C168" s="206">
        <v>4324.1099999999997</v>
      </c>
      <c r="D168" s="251"/>
      <c r="E168" s="206">
        <v>4283.07</v>
      </c>
      <c r="I168" s="206">
        <v>1.5</v>
      </c>
      <c r="J168" s="206">
        <v>1.5</v>
      </c>
      <c r="K168" s="231"/>
      <c r="L168" s="231"/>
      <c r="M168" s="231"/>
      <c r="N168" s="231"/>
      <c r="O168" s="231"/>
      <c r="P168" s="231"/>
      <c r="Q168" s="231"/>
    </row>
    <row r="169" spans="1:18" ht="15.6" customHeight="1" x14ac:dyDescent="0.3">
      <c r="A169" s="208"/>
      <c r="B169" s="209" t="s">
        <v>101</v>
      </c>
      <c r="C169" s="206">
        <v>4566.0200000000004</v>
      </c>
      <c r="D169" s="251"/>
      <c r="E169" s="206">
        <v>4522.7</v>
      </c>
      <c r="I169" s="206">
        <v>1.5</v>
      </c>
      <c r="J169" s="206">
        <v>1.5</v>
      </c>
      <c r="K169" s="231"/>
      <c r="L169" s="231"/>
      <c r="M169" s="231"/>
      <c r="N169" s="231"/>
      <c r="O169" s="231"/>
      <c r="P169" s="231"/>
      <c r="Q169" s="231"/>
    </row>
    <row r="170" spans="1:18" ht="15.6" customHeight="1" x14ac:dyDescent="0.3">
      <c r="A170" s="208"/>
      <c r="B170" s="256" t="s">
        <v>102</v>
      </c>
      <c r="C170" s="206">
        <v>4822.47</v>
      </c>
      <c r="D170" s="251"/>
      <c r="E170" s="206">
        <v>4776.68</v>
      </c>
      <c r="I170" s="206">
        <v>1.5</v>
      </c>
      <c r="J170" s="206">
        <v>1.5</v>
      </c>
      <c r="K170" s="231"/>
      <c r="L170" s="231"/>
      <c r="M170" s="231"/>
      <c r="N170" s="231"/>
      <c r="O170" s="231"/>
      <c r="P170" s="231"/>
      <c r="Q170" s="231"/>
    </row>
    <row r="171" spans="1:18" ht="15.6" customHeight="1" x14ac:dyDescent="0.3">
      <c r="A171" s="208">
        <v>41104002</v>
      </c>
      <c r="B171" s="209" t="s">
        <v>429</v>
      </c>
      <c r="C171" s="206"/>
      <c r="D171" s="264"/>
      <c r="E171" s="206"/>
      <c r="I171" s="206"/>
      <c r="J171" s="206"/>
      <c r="K171" s="231"/>
      <c r="L171" s="231"/>
      <c r="M171" s="231"/>
      <c r="N171" s="231"/>
      <c r="O171" s="231"/>
      <c r="P171" s="231"/>
      <c r="Q171" s="231"/>
      <c r="R171" s="265"/>
    </row>
    <row r="172" spans="1:18" ht="15.6" customHeight="1" x14ac:dyDescent="0.3">
      <c r="A172" s="263">
        <v>41107002</v>
      </c>
      <c r="B172" s="257" t="s">
        <v>430</v>
      </c>
      <c r="C172" s="242"/>
      <c r="D172" s="242"/>
      <c r="E172" s="242"/>
      <c r="I172" s="206"/>
      <c r="J172" s="206"/>
      <c r="K172" s="231"/>
      <c r="L172" s="231"/>
      <c r="M172" s="231"/>
      <c r="N172" s="231"/>
      <c r="O172" s="231"/>
      <c r="P172" s="231"/>
      <c r="Q172" s="231"/>
    </row>
    <row r="173" spans="1:18" ht="15.6" customHeight="1" x14ac:dyDescent="0.3">
      <c r="A173" s="208"/>
      <c r="B173" s="257" t="s">
        <v>556</v>
      </c>
      <c r="C173" s="206">
        <v>3309.6</v>
      </c>
      <c r="D173" s="251"/>
      <c r="E173" s="206">
        <v>3278.19</v>
      </c>
      <c r="I173" s="206">
        <v>1.5</v>
      </c>
      <c r="J173" s="206">
        <v>1.5</v>
      </c>
      <c r="K173" s="231"/>
      <c r="L173" s="231"/>
      <c r="M173" s="231"/>
      <c r="N173" s="231"/>
      <c r="O173" s="231"/>
      <c r="P173" s="231"/>
      <c r="Q173" s="231"/>
    </row>
    <row r="174" spans="1:18" ht="15.6" customHeight="1" x14ac:dyDescent="0.3">
      <c r="A174" s="208"/>
      <c r="B174" s="256" t="s">
        <v>98</v>
      </c>
      <c r="C174" s="206">
        <v>3492.67</v>
      </c>
      <c r="D174" s="251"/>
      <c r="E174" s="206">
        <v>3459.53</v>
      </c>
      <c r="I174" s="206">
        <v>1.5</v>
      </c>
      <c r="J174" s="206">
        <v>1.5</v>
      </c>
      <c r="K174" s="231"/>
      <c r="L174" s="231"/>
      <c r="M174" s="231"/>
      <c r="N174" s="231"/>
      <c r="O174" s="231"/>
      <c r="P174" s="231"/>
      <c r="Q174" s="231"/>
    </row>
    <row r="175" spans="1:18" ht="15.6" customHeight="1" x14ac:dyDescent="0.3">
      <c r="A175" s="208"/>
      <c r="B175" s="256" t="s">
        <v>99</v>
      </c>
      <c r="C175" s="206">
        <v>3622.05</v>
      </c>
      <c r="D175" s="251"/>
      <c r="E175" s="206">
        <v>3587.67</v>
      </c>
      <c r="I175" s="206">
        <v>1.5</v>
      </c>
      <c r="J175" s="206">
        <v>1.5</v>
      </c>
      <c r="K175" s="231"/>
      <c r="L175" s="231"/>
      <c r="M175" s="231"/>
      <c r="N175" s="231"/>
      <c r="O175" s="231"/>
      <c r="P175" s="231"/>
      <c r="Q175" s="231"/>
    </row>
    <row r="176" spans="1:18" ht="15.6" customHeight="1" x14ac:dyDescent="0.3">
      <c r="A176" s="208"/>
      <c r="B176" s="256" t="s">
        <v>100</v>
      </c>
      <c r="C176" s="206">
        <v>3823.86</v>
      </c>
      <c r="D176" s="251"/>
      <c r="E176" s="206">
        <v>3787.56</v>
      </c>
      <c r="I176" s="206">
        <v>1.5</v>
      </c>
      <c r="J176" s="206">
        <v>1.5</v>
      </c>
      <c r="K176" s="231"/>
      <c r="L176" s="231"/>
      <c r="M176" s="231"/>
      <c r="N176" s="231"/>
      <c r="O176" s="231"/>
      <c r="P176" s="231"/>
      <c r="Q176" s="231"/>
    </row>
    <row r="177" spans="1:17" ht="15.6" customHeight="1" x14ac:dyDescent="0.3">
      <c r="A177" s="208"/>
      <c r="B177" s="256" t="s">
        <v>101</v>
      </c>
      <c r="C177" s="206">
        <v>4037.78</v>
      </c>
      <c r="D177" s="251"/>
      <c r="E177" s="206">
        <v>3999.47</v>
      </c>
      <c r="I177" s="206">
        <v>1.5</v>
      </c>
      <c r="J177" s="206">
        <v>1.5</v>
      </c>
      <c r="K177" s="231"/>
      <c r="L177" s="231"/>
      <c r="M177" s="231"/>
      <c r="N177" s="231"/>
      <c r="O177" s="231"/>
      <c r="P177" s="231"/>
      <c r="Q177" s="231"/>
    </row>
    <row r="178" spans="1:17" ht="15.6" customHeight="1" x14ac:dyDescent="0.3">
      <c r="A178" s="208"/>
      <c r="B178" s="256" t="s">
        <v>102</v>
      </c>
      <c r="C178" s="206">
        <v>4264.54</v>
      </c>
      <c r="D178" s="251"/>
      <c r="E178" s="206">
        <v>4224.07</v>
      </c>
      <c r="I178" s="206">
        <v>1.5</v>
      </c>
      <c r="J178" s="206">
        <v>1.5</v>
      </c>
      <c r="K178" s="231"/>
      <c r="L178" s="231"/>
      <c r="M178" s="231"/>
      <c r="N178" s="231"/>
      <c r="O178" s="231"/>
      <c r="P178" s="231"/>
      <c r="Q178" s="231"/>
    </row>
    <row r="179" spans="1:17" ht="15.6" customHeight="1" x14ac:dyDescent="0.3">
      <c r="A179" s="208">
        <v>41104003</v>
      </c>
      <c r="B179" s="209" t="s">
        <v>431</v>
      </c>
      <c r="C179" s="206"/>
      <c r="D179" s="206"/>
      <c r="E179" s="206"/>
      <c r="I179" s="206"/>
      <c r="J179" s="206"/>
      <c r="K179" s="231"/>
      <c r="L179" s="231"/>
      <c r="M179" s="231"/>
      <c r="N179" s="231"/>
      <c r="O179" s="231"/>
      <c r="P179" s="231"/>
      <c r="Q179" s="231"/>
    </row>
    <row r="180" spans="1:17" ht="15.6" customHeight="1" x14ac:dyDescent="0.3">
      <c r="A180" s="263">
        <v>41107003</v>
      </c>
      <c r="B180" s="257" t="s">
        <v>432</v>
      </c>
      <c r="C180" s="242"/>
      <c r="D180" s="242"/>
      <c r="E180" s="242"/>
      <c r="I180" s="206"/>
      <c r="J180" s="206"/>
      <c r="K180" s="231"/>
      <c r="L180" s="231"/>
      <c r="M180" s="231"/>
      <c r="N180" s="231"/>
      <c r="O180" s="231"/>
      <c r="P180" s="231"/>
      <c r="Q180" s="231"/>
    </row>
    <row r="181" spans="1:17" ht="15.6" customHeight="1" x14ac:dyDescent="0.3">
      <c r="A181" s="208"/>
      <c r="B181" s="257" t="s">
        <v>556</v>
      </c>
      <c r="C181" s="206">
        <v>3043.24</v>
      </c>
      <c r="D181" s="251"/>
      <c r="E181" s="206">
        <v>3014.41</v>
      </c>
      <c r="I181" s="206">
        <v>1.5</v>
      </c>
      <c r="J181" s="206">
        <v>1.5</v>
      </c>
      <c r="K181" s="231"/>
      <c r="L181" s="231"/>
      <c r="M181" s="231"/>
      <c r="N181" s="231"/>
      <c r="O181" s="231"/>
      <c r="P181" s="231"/>
      <c r="Q181" s="231"/>
    </row>
    <row r="182" spans="1:17" ht="15.6" customHeight="1" x14ac:dyDescent="0.3">
      <c r="A182" s="208"/>
      <c r="B182" s="257" t="s">
        <v>98</v>
      </c>
      <c r="C182" s="206">
        <v>3211.58</v>
      </c>
      <c r="D182" s="251"/>
      <c r="E182" s="206">
        <v>3181.16</v>
      </c>
      <c r="I182" s="206">
        <v>1.5</v>
      </c>
      <c r="J182" s="206">
        <v>1.5</v>
      </c>
      <c r="K182" s="231"/>
      <c r="L182" s="231"/>
      <c r="M182" s="231"/>
      <c r="N182" s="231"/>
      <c r="O182" s="231"/>
      <c r="P182" s="231"/>
      <c r="Q182" s="231"/>
    </row>
    <row r="183" spans="1:17" ht="15.6" customHeight="1" x14ac:dyDescent="0.3">
      <c r="A183" s="208"/>
      <c r="B183" s="257" t="s">
        <v>99</v>
      </c>
      <c r="C183" s="206">
        <v>3330.53</v>
      </c>
      <c r="D183" s="251"/>
      <c r="E183" s="206">
        <v>3298.98</v>
      </c>
      <c r="I183" s="206">
        <v>1.5</v>
      </c>
      <c r="J183" s="206">
        <v>1.5</v>
      </c>
      <c r="K183" s="231"/>
      <c r="L183" s="231"/>
      <c r="M183" s="231"/>
      <c r="N183" s="231"/>
      <c r="O183" s="231"/>
      <c r="P183" s="231"/>
      <c r="Q183" s="231"/>
    </row>
    <row r="184" spans="1:17" ht="15.6" customHeight="1" x14ac:dyDescent="0.3">
      <c r="A184" s="208"/>
      <c r="B184" s="209" t="s">
        <v>100</v>
      </c>
      <c r="C184" s="206">
        <v>3516.12</v>
      </c>
      <c r="D184" s="251"/>
      <c r="E184" s="206">
        <v>3482.82</v>
      </c>
      <c r="I184" s="206">
        <v>1.5</v>
      </c>
      <c r="J184" s="206">
        <v>1.5</v>
      </c>
      <c r="K184" s="231"/>
      <c r="L184" s="231"/>
      <c r="M184" s="231"/>
      <c r="N184" s="231"/>
      <c r="O184" s="231"/>
      <c r="P184" s="231"/>
      <c r="Q184" s="231"/>
    </row>
    <row r="185" spans="1:17" ht="15.6" customHeight="1" x14ac:dyDescent="0.3">
      <c r="A185" s="208"/>
      <c r="B185" s="256" t="s">
        <v>101</v>
      </c>
      <c r="C185" s="206">
        <v>3712.83</v>
      </c>
      <c r="D185" s="251"/>
      <c r="E185" s="206">
        <v>3677.66</v>
      </c>
      <c r="I185" s="206">
        <v>1.5</v>
      </c>
      <c r="J185" s="206">
        <v>1.5</v>
      </c>
      <c r="K185" s="231"/>
      <c r="L185" s="231"/>
      <c r="M185" s="231"/>
      <c r="N185" s="231"/>
      <c r="O185" s="231"/>
      <c r="P185" s="231"/>
      <c r="Q185" s="231"/>
    </row>
    <row r="186" spans="1:17" ht="15.6" customHeight="1" x14ac:dyDescent="0.3">
      <c r="A186" s="208"/>
      <c r="B186" s="256" t="s">
        <v>102</v>
      </c>
      <c r="C186" s="206">
        <v>3921.34</v>
      </c>
      <c r="D186" s="251"/>
      <c r="E186" s="206">
        <v>3884.19</v>
      </c>
      <c r="I186" s="206">
        <v>1.5</v>
      </c>
      <c r="J186" s="206">
        <v>1.5</v>
      </c>
      <c r="K186" s="231"/>
      <c r="L186" s="231"/>
      <c r="M186" s="231"/>
      <c r="N186" s="231"/>
      <c r="O186" s="231"/>
      <c r="P186" s="231"/>
      <c r="Q186" s="231"/>
    </row>
    <row r="187" spans="1:17" ht="15.6" customHeight="1" x14ac:dyDescent="0.3">
      <c r="A187" s="208">
        <v>41104004</v>
      </c>
      <c r="B187" s="209" t="s">
        <v>433</v>
      </c>
      <c r="C187" s="206"/>
      <c r="D187" s="206"/>
      <c r="E187" s="206"/>
      <c r="I187" s="206"/>
      <c r="J187" s="206"/>
      <c r="K187" s="231"/>
      <c r="L187" s="231"/>
      <c r="M187" s="231"/>
      <c r="N187" s="231"/>
      <c r="O187" s="231"/>
      <c r="P187" s="231"/>
      <c r="Q187" s="231"/>
    </row>
    <row r="188" spans="1:17" ht="15.6" customHeight="1" x14ac:dyDescent="0.3">
      <c r="A188" s="263">
        <v>41107004</v>
      </c>
      <c r="B188" s="257" t="s">
        <v>434</v>
      </c>
      <c r="C188" s="242"/>
      <c r="D188" s="242"/>
      <c r="E188" s="242"/>
      <c r="I188" s="206"/>
      <c r="J188" s="206"/>
      <c r="K188" s="231"/>
      <c r="L188" s="231"/>
      <c r="M188" s="231"/>
      <c r="N188" s="231"/>
      <c r="O188" s="231"/>
      <c r="P188" s="231"/>
      <c r="Q188" s="231"/>
    </row>
    <row r="189" spans="1:17" ht="15.6" customHeight="1" x14ac:dyDescent="0.3">
      <c r="A189" s="208"/>
      <c r="B189" s="209" t="s">
        <v>556</v>
      </c>
      <c r="C189" s="206">
        <v>3037.39</v>
      </c>
      <c r="D189" s="251"/>
      <c r="E189" s="206">
        <v>3008.51</v>
      </c>
      <c r="I189" s="206">
        <v>1.5</v>
      </c>
      <c r="J189" s="206">
        <v>1.5</v>
      </c>
      <c r="K189" s="231"/>
      <c r="L189" s="231"/>
      <c r="M189" s="231"/>
      <c r="N189" s="231"/>
      <c r="O189" s="231"/>
      <c r="P189" s="231"/>
      <c r="Q189" s="231"/>
    </row>
    <row r="190" spans="1:17" ht="15.6" customHeight="1" x14ac:dyDescent="0.3">
      <c r="A190" s="208"/>
      <c r="B190" s="256" t="s">
        <v>98</v>
      </c>
      <c r="C190" s="206">
        <v>3205.4</v>
      </c>
      <c r="D190" s="251"/>
      <c r="E190" s="206">
        <v>3174.96</v>
      </c>
      <c r="I190" s="206">
        <v>1.5</v>
      </c>
      <c r="J190" s="206">
        <v>1.5</v>
      </c>
      <c r="K190" s="231"/>
      <c r="L190" s="231"/>
      <c r="M190" s="231"/>
      <c r="N190" s="231"/>
      <c r="O190" s="231"/>
      <c r="P190" s="231"/>
      <c r="Q190" s="231"/>
    </row>
    <row r="191" spans="1:17" ht="15.6" customHeight="1" x14ac:dyDescent="0.3">
      <c r="A191" s="208"/>
      <c r="B191" s="209" t="s">
        <v>99</v>
      </c>
      <c r="C191" s="206">
        <v>3324.14</v>
      </c>
      <c r="D191" s="251"/>
      <c r="E191" s="206">
        <v>3292.56</v>
      </c>
      <c r="I191" s="206">
        <v>1.5</v>
      </c>
      <c r="J191" s="206">
        <v>1.5</v>
      </c>
      <c r="K191" s="231"/>
      <c r="L191" s="231"/>
      <c r="M191" s="231"/>
      <c r="N191" s="231"/>
      <c r="O191" s="231"/>
      <c r="P191" s="231"/>
      <c r="Q191" s="231"/>
    </row>
    <row r="192" spans="1:17" ht="15.6" customHeight="1" x14ac:dyDescent="0.3">
      <c r="A192" s="208"/>
      <c r="B192" s="260" t="s">
        <v>100</v>
      </c>
      <c r="C192" s="206">
        <v>3509.35</v>
      </c>
      <c r="D192" s="251"/>
      <c r="E192" s="206">
        <v>3476.02</v>
      </c>
      <c r="I192" s="206">
        <v>1.5</v>
      </c>
      <c r="J192" s="206">
        <v>1.5</v>
      </c>
      <c r="K192" s="231"/>
      <c r="L192" s="231"/>
      <c r="M192" s="231"/>
      <c r="N192" s="231"/>
      <c r="O192" s="231"/>
      <c r="P192" s="231"/>
      <c r="Q192" s="231"/>
    </row>
    <row r="193" spans="1:17" ht="15.6" customHeight="1" x14ac:dyDescent="0.3">
      <c r="A193" s="208"/>
      <c r="B193" s="260" t="s">
        <v>101</v>
      </c>
      <c r="C193" s="206">
        <v>3705.68</v>
      </c>
      <c r="D193" s="251"/>
      <c r="E193" s="206">
        <v>3670.47</v>
      </c>
      <c r="I193" s="206">
        <v>1.5</v>
      </c>
      <c r="J193" s="206">
        <v>1.5</v>
      </c>
      <c r="K193" s="231"/>
      <c r="L193" s="231"/>
      <c r="M193" s="231"/>
      <c r="N193" s="231"/>
      <c r="O193" s="231"/>
      <c r="P193" s="231"/>
      <c r="Q193" s="231"/>
    </row>
    <row r="194" spans="1:17" ht="15.6" customHeight="1" x14ac:dyDescent="0.3">
      <c r="A194" s="208"/>
      <c r="B194" s="256" t="s">
        <v>102</v>
      </c>
      <c r="C194" s="206">
        <v>3913.78</v>
      </c>
      <c r="D194" s="251"/>
      <c r="E194" s="206">
        <v>3876.6</v>
      </c>
      <c r="I194" s="206">
        <v>1.5</v>
      </c>
      <c r="J194" s="206">
        <v>1.5</v>
      </c>
      <c r="K194" s="231"/>
      <c r="L194" s="231"/>
      <c r="M194" s="231"/>
      <c r="N194" s="231"/>
      <c r="O194" s="231"/>
      <c r="P194" s="231"/>
      <c r="Q194" s="231"/>
    </row>
    <row r="195" spans="1:17" x14ac:dyDescent="0.3">
      <c r="A195" s="208"/>
      <c r="B195" s="209"/>
      <c r="C195" s="215"/>
      <c r="D195" s="207"/>
      <c r="E195" s="207"/>
      <c r="I195" s="206"/>
      <c r="J195" s="206"/>
      <c r="K195" s="231"/>
      <c r="L195" s="231"/>
      <c r="M195" s="231"/>
      <c r="N195" s="231"/>
      <c r="O195" s="231"/>
      <c r="P195" s="231"/>
      <c r="Q195" s="231"/>
    </row>
    <row r="196" spans="1:17" ht="15" customHeight="1" x14ac:dyDescent="0.3">
      <c r="A196" s="266" t="s">
        <v>557</v>
      </c>
      <c r="B196" s="257"/>
      <c r="C196" s="255" t="s">
        <v>558</v>
      </c>
      <c r="D196" s="207"/>
      <c r="E196" s="207"/>
      <c r="I196" s="206"/>
      <c r="J196" s="206"/>
      <c r="K196" s="231"/>
      <c r="L196" s="231"/>
      <c r="M196" s="231"/>
      <c r="N196" s="231"/>
      <c r="O196" s="231"/>
      <c r="P196" s="231"/>
      <c r="Q196" s="231"/>
    </row>
    <row r="197" spans="1:17" ht="15" customHeight="1" x14ac:dyDescent="0.3">
      <c r="A197" s="266">
        <v>41107041</v>
      </c>
      <c r="B197" s="257" t="s">
        <v>559</v>
      </c>
      <c r="C197" s="245">
        <v>33.54</v>
      </c>
      <c r="D197" s="207"/>
      <c r="E197" s="207">
        <v>33.21</v>
      </c>
      <c r="I197" s="206">
        <v>1.5</v>
      </c>
      <c r="J197" s="206">
        <v>1.5</v>
      </c>
      <c r="K197" s="231"/>
      <c r="L197" s="231"/>
      <c r="M197" s="231"/>
      <c r="N197" s="231"/>
      <c r="O197" s="231"/>
      <c r="P197" s="231"/>
      <c r="Q197" s="231"/>
    </row>
    <row r="198" spans="1:17" ht="15" customHeight="1" x14ac:dyDescent="0.3">
      <c r="A198" s="263">
        <v>41107042</v>
      </c>
      <c r="B198" s="257" t="s">
        <v>560</v>
      </c>
      <c r="C198" s="206">
        <v>29.2</v>
      </c>
      <c r="D198" s="207"/>
      <c r="E198" s="207">
        <v>28.93</v>
      </c>
      <c r="I198" s="206">
        <v>1.5</v>
      </c>
      <c r="J198" s="206">
        <v>1.5</v>
      </c>
      <c r="K198" s="231"/>
      <c r="L198" s="231"/>
      <c r="M198" s="231"/>
      <c r="N198" s="231"/>
      <c r="O198" s="231"/>
      <c r="P198" s="231"/>
      <c r="Q198" s="231"/>
    </row>
    <row r="199" spans="1:17" ht="15" customHeight="1" x14ac:dyDescent="0.3">
      <c r="A199" s="208">
        <v>41107043</v>
      </c>
      <c r="B199" s="209" t="s">
        <v>561</v>
      </c>
      <c r="C199" s="206">
        <v>27.27</v>
      </c>
      <c r="D199" s="207"/>
      <c r="E199" s="207">
        <v>27</v>
      </c>
      <c r="I199" s="206">
        <v>1.5</v>
      </c>
      <c r="J199" s="206">
        <v>1.5</v>
      </c>
      <c r="K199" s="231"/>
      <c r="L199" s="231"/>
      <c r="M199" s="231"/>
      <c r="N199" s="231"/>
      <c r="O199" s="231"/>
      <c r="P199" s="231"/>
      <c r="Q199" s="231"/>
    </row>
    <row r="200" spans="1:17" ht="15" customHeight="1" x14ac:dyDescent="0.3">
      <c r="A200" s="208">
        <v>41107044</v>
      </c>
      <c r="B200" s="208" t="s">
        <v>562</v>
      </c>
      <c r="C200" s="206">
        <v>26.63</v>
      </c>
      <c r="D200" s="251"/>
      <c r="E200" s="206">
        <v>26.38</v>
      </c>
      <c r="I200" s="206">
        <v>1.5</v>
      </c>
      <c r="J200" s="206">
        <v>1.5</v>
      </c>
      <c r="K200" s="278"/>
      <c r="L200" s="231"/>
      <c r="M200" s="231"/>
      <c r="N200" s="231"/>
      <c r="O200" s="231"/>
      <c r="P200" s="231"/>
      <c r="Q200" s="231"/>
    </row>
    <row r="201" spans="1:17" ht="15" customHeight="1" x14ac:dyDescent="0.3">
      <c r="A201" s="208"/>
      <c r="B201" s="208"/>
      <c r="C201" s="206"/>
      <c r="D201" s="251"/>
      <c r="E201" s="206"/>
      <c r="I201" s="206"/>
      <c r="J201" s="206"/>
      <c r="K201" s="278"/>
      <c r="L201" s="231"/>
      <c r="M201" s="231"/>
      <c r="N201" s="231"/>
      <c r="O201" s="231"/>
      <c r="P201" s="231"/>
      <c r="Q201" s="231"/>
    </row>
    <row r="202" spans="1:17" ht="15" customHeight="1" x14ac:dyDescent="0.3">
      <c r="A202" s="208" t="s">
        <v>563</v>
      </c>
      <c r="B202" s="208"/>
      <c r="C202" s="206" t="s">
        <v>162</v>
      </c>
      <c r="D202" s="251" t="s">
        <v>163</v>
      </c>
      <c r="E202" s="206" t="s">
        <v>162</v>
      </c>
      <c r="F202" s="204" t="s">
        <v>163</v>
      </c>
      <c r="I202" s="206"/>
      <c r="J202" s="206"/>
      <c r="K202" s="278"/>
      <c r="L202" s="231"/>
      <c r="M202" s="231"/>
      <c r="N202" s="231"/>
      <c r="O202" s="231"/>
      <c r="P202" s="231"/>
      <c r="Q202" s="231"/>
    </row>
    <row r="203" spans="1:17" ht="15" customHeight="1" x14ac:dyDescent="0.3">
      <c r="A203" s="208" t="s">
        <v>516</v>
      </c>
      <c r="B203" s="208"/>
      <c r="C203" s="206" t="s">
        <v>2</v>
      </c>
      <c r="D203" s="251" t="s">
        <v>2</v>
      </c>
      <c r="E203" s="206" t="s">
        <v>3</v>
      </c>
      <c r="F203" s="204" t="s">
        <v>3</v>
      </c>
      <c r="I203" s="206"/>
      <c r="J203" s="206"/>
      <c r="K203" s="278"/>
      <c r="L203" s="231"/>
      <c r="M203" s="231"/>
      <c r="N203" s="231"/>
      <c r="O203" s="231"/>
      <c r="P203" s="231"/>
      <c r="Q203" s="231"/>
    </row>
    <row r="204" spans="1:17" ht="15" customHeight="1" x14ac:dyDescent="0.3">
      <c r="A204" s="208">
        <v>40801002</v>
      </c>
      <c r="B204" s="209" t="s">
        <v>424</v>
      </c>
      <c r="C204" s="204">
        <v>4017.55</v>
      </c>
      <c r="D204" s="204">
        <v>5058.17</v>
      </c>
      <c r="E204" s="204">
        <v>3978.99</v>
      </c>
      <c r="F204" s="204">
        <v>5009.58</v>
      </c>
      <c r="I204" s="206">
        <v>1.5</v>
      </c>
      <c r="J204" s="206">
        <v>1.5</v>
      </c>
      <c r="K204" s="231"/>
      <c r="L204" s="231"/>
      <c r="M204" s="231"/>
      <c r="N204" s="231"/>
      <c r="O204" s="231"/>
      <c r="P204" s="231"/>
      <c r="Q204" s="231"/>
    </row>
    <row r="205" spans="1:17" ht="15.6" customHeight="1" x14ac:dyDescent="0.3">
      <c r="A205" s="280">
        <v>40802005</v>
      </c>
      <c r="B205" s="279" t="s">
        <v>435</v>
      </c>
      <c r="C205" s="207">
        <v>3615.33</v>
      </c>
      <c r="D205" s="207">
        <v>4469.53</v>
      </c>
      <c r="E205" s="207">
        <v>3580.59</v>
      </c>
      <c r="F205" s="204">
        <v>4426.62</v>
      </c>
      <c r="I205" s="206">
        <v>1.5</v>
      </c>
      <c r="J205" s="206">
        <v>1.5</v>
      </c>
      <c r="K205" s="231"/>
      <c r="L205" s="231"/>
      <c r="M205" s="231"/>
      <c r="N205" s="231"/>
      <c r="O205" s="231"/>
      <c r="P205" s="231"/>
      <c r="Q205" s="231"/>
    </row>
    <row r="206" spans="1:17" ht="15.6" customHeight="1" x14ac:dyDescent="0.3">
      <c r="A206" s="280"/>
      <c r="B206" s="279"/>
      <c r="C206" s="255"/>
      <c r="D206" s="255"/>
      <c r="E206" s="255"/>
      <c r="I206" s="206"/>
      <c r="J206" s="206"/>
      <c r="K206" s="231"/>
      <c r="L206" s="231"/>
      <c r="M206" s="231"/>
      <c r="N206" s="231"/>
      <c r="O206" s="231"/>
      <c r="P206" s="231"/>
      <c r="Q206" s="231"/>
    </row>
    <row r="207" spans="1:17" ht="15.6" customHeight="1" x14ac:dyDescent="0.3">
      <c r="A207" s="281" t="s">
        <v>564</v>
      </c>
      <c r="B207" s="282"/>
      <c r="C207" s="206" t="s">
        <v>2</v>
      </c>
      <c r="D207" s="251"/>
      <c r="E207" s="206" t="s">
        <v>3</v>
      </c>
      <c r="H207" s="206"/>
      <c r="I207" s="206"/>
      <c r="J207" s="206"/>
      <c r="K207" s="231"/>
      <c r="L207" s="231"/>
      <c r="M207" s="231"/>
      <c r="N207" s="231"/>
      <c r="O207" s="231"/>
      <c r="P207" s="231"/>
      <c r="Q207" s="231"/>
    </row>
    <row r="208" spans="1:17" ht="15.6" customHeight="1" x14ac:dyDescent="0.3">
      <c r="A208" s="281">
        <v>40804012</v>
      </c>
      <c r="B208" s="282" t="s">
        <v>436</v>
      </c>
      <c r="C208" s="206">
        <v>2822.82</v>
      </c>
      <c r="D208" s="251"/>
      <c r="E208" s="206">
        <v>2795.96</v>
      </c>
      <c r="H208" s="206"/>
      <c r="I208" s="206">
        <v>1.5</v>
      </c>
      <c r="J208" s="206">
        <v>1.5</v>
      </c>
      <c r="K208" s="231"/>
      <c r="L208" s="231"/>
      <c r="M208" s="231"/>
      <c r="N208" s="231"/>
      <c r="O208" s="231"/>
      <c r="P208" s="231"/>
      <c r="Q208" s="231"/>
    </row>
    <row r="209" spans="1:17" ht="15.6" customHeight="1" x14ac:dyDescent="0.3">
      <c r="A209" s="281">
        <v>40804014</v>
      </c>
      <c r="B209" s="282" t="s">
        <v>437</v>
      </c>
      <c r="C209" s="206">
        <v>2748.94</v>
      </c>
      <c r="D209" s="251"/>
      <c r="E209" s="206">
        <v>2722.81</v>
      </c>
      <c r="H209" s="206"/>
      <c r="I209" s="206">
        <v>1.5</v>
      </c>
      <c r="J209" s="206">
        <v>1.5</v>
      </c>
      <c r="K209" s="231"/>
      <c r="L209" s="231"/>
      <c r="M209" s="231"/>
      <c r="N209" s="231"/>
      <c r="O209" s="231"/>
      <c r="P209" s="231"/>
      <c r="Q209" s="231"/>
    </row>
    <row r="210" spans="1:17" ht="15.6" customHeight="1" x14ac:dyDescent="0.3">
      <c r="A210" s="281">
        <v>40804013</v>
      </c>
      <c r="B210" s="282" t="s">
        <v>438</v>
      </c>
      <c r="C210" s="206">
        <v>2473.5</v>
      </c>
      <c r="D210" s="251"/>
      <c r="E210" s="206">
        <v>2449.98</v>
      </c>
      <c r="H210" s="206"/>
      <c r="I210" s="206">
        <v>1.5</v>
      </c>
      <c r="J210" s="206">
        <v>1.5</v>
      </c>
      <c r="K210" s="231"/>
      <c r="L210" s="231"/>
      <c r="M210" s="231"/>
      <c r="N210" s="231"/>
      <c r="O210" s="231"/>
      <c r="P210" s="231"/>
      <c r="Q210" s="231"/>
    </row>
    <row r="211" spans="1:17" ht="15.6" customHeight="1" x14ac:dyDescent="0.3">
      <c r="A211" s="281">
        <v>40804008</v>
      </c>
      <c r="B211" s="282" t="s">
        <v>439</v>
      </c>
      <c r="C211" s="206">
        <v>2822.82</v>
      </c>
      <c r="D211" s="251"/>
      <c r="E211" s="206">
        <v>2795.96</v>
      </c>
      <c r="H211" s="206"/>
      <c r="I211" s="206">
        <v>1.5</v>
      </c>
      <c r="J211" s="206">
        <v>1.5</v>
      </c>
      <c r="K211" s="231"/>
      <c r="L211" s="231"/>
      <c r="M211" s="231"/>
      <c r="N211" s="231"/>
      <c r="O211" s="231"/>
      <c r="P211" s="231"/>
      <c r="Q211" s="231"/>
    </row>
    <row r="212" spans="1:17" ht="15.6" customHeight="1" x14ac:dyDescent="0.3">
      <c r="A212" s="283">
        <v>40807026</v>
      </c>
      <c r="B212" s="284" t="s">
        <v>428</v>
      </c>
      <c r="C212" s="207">
        <v>2586.04</v>
      </c>
      <c r="D212" s="207"/>
      <c r="E212" s="207">
        <v>2561.38</v>
      </c>
      <c r="I212" s="206">
        <v>1.5</v>
      </c>
      <c r="J212" s="206">
        <v>1.5</v>
      </c>
      <c r="K212" s="231"/>
      <c r="L212" s="231"/>
      <c r="M212" s="231"/>
      <c r="N212" s="231"/>
      <c r="O212" s="231"/>
      <c r="P212" s="231"/>
      <c r="Q212" s="231"/>
    </row>
    <row r="213" spans="1:17" ht="15.6" customHeight="1" x14ac:dyDescent="0.3">
      <c r="A213" s="280">
        <v>40807028</v>
      </c>
      <c r="B213" s="284" t="s">
        <v>440</v>
      </c>
      <c r="C213" s="258">
        <v>2534.52</v>
      </c>
      <c r="D213" s="207"/>
      <c r="E213" s="207">
        <v>2510.38</v>
      </c>
      <c r="I213" s="206">
        <v>1.5</v>
      </c>
      <c r="J213" s="206">
        <v>1.5</v>
      </c>
      <c r="K213" s="231"/>
      <c r="L213" s="231"/>
      <c r="M213" s="231"/>
      <c r="N213" s="231"/>
      <c r="O213" s="231"/>
      <c r="P213" s="231"/>
      <c r="Q213" s="231"/>
    </row>
    <row r="214" spans="1:17" ht="15.6" customHeight="1" x14ac:dyDescent="0.3">
      <c r="A214" s="283">
        <v>40807027</v>
      </c>
      <c r="B214" s="282" t="s">
        <v>441</v>
      </c>
      <c r="C214" s="206">
        <v>2360.15</v>
      </c>
      <c r="E214" s="207">
        <v>2338.16</v>
      </c>
      <c r="H214" s="206"/>
      <c r="I214" s="206">
        <v>1.5</v>
      </c>
      <c r="J214" s="206">
        <v>1.5</v>
      </c>
      <c r="K214" s="231"/>
      <c r="L214" s="231"/>
      <c r="M214" s="231"/>
      <c r="N214" s="231"/>
      <c r="O214" s="231"/>
      <c r="P214" s="231"/>
      <c r="Q214" s="231"/>
    </row>
    <row r="215" spans="1:17" ht="15" customHeight="1" x14ac:dyDescent="0.3">
      <c r="A215" s="283"/>
      <c r="B215" s="284"/>
      <c r="C215" s="207"/>
      <c r="D215" s="207"/>
      <c r="E215" s="207"/>
      <c r="I215" s="206"/>
      <c r="J215" s="206"/>
      <c r="K215" s="231"/>
      <c r="L215" s="231"/>
      <c r="M215" s="231"/>
      <c r="N215" s="231"/>
      <c r="O215" s="231"/>
      <c r="P215" s="231"/>
      <c r="Q215" s="231"/>
    </row>
    <row r="216" spans="1:17" ht="15" customHeight="1" x14ac:dyDescent="0.3">
      <c r="A216" s="280" t="s">
        <v>565</v>
      </c>
      <c r="B216" s="284"/>
      <c r="C216" s="207" t="s">
        <v>558</v>
      </c>
      <c r="D216" s="207"/>
      <c r="E216" s="207"/>
      <c r="I216" s="206"/>
      <c r="J216" s="206"/>
      <c r="K216" s="231"/>
      <c r="L216" s="231"/>
      <c r="M216" s="231"/>
      <c r="N216" s="231"/>
      <c r="O216" s="231"/>
      <c r="P216" s="231"/>
      <c r="Q216" s="231"/>
    </row>
    <row r="217" spans="1:17" ht="15" customHeight="1" x14ac:dyDescent="0.3">
      <c r="A217" s="280" t="s">
        <v>566</v>
      </c>
      <c r="B217" s="284" t="s">
        <v>230</v>
      </c>
      <c r="C217" s="255">
        <v>30.74</v>
      </c>
      <c r="D217" s="261"/>
      <c r="E217" s="255"/>
      <c r="I217" s="206">
        <v>2.09</v>
      </c>
      <c r="J217" s="206"/>
      <c r="K217" s="231"/>
      <c r="L217" s="231"/>
      <c r="M217" s="231"/>
      <c r="N217" s="231"/>
      <c r="O217" s="231"/>
      <c r="P217" s="231"/>
      <c r="Q217" s="231"/>
    </row>
    <row r="218" spans="1:17" ht="15.6" customHeight="1" x14ac:dyDescent="0.3">
      <c r="A218" s="281" t="s">
        <v>567</v>
      </c>
      <c r="B218" s="282" t="s">
        <v>231</v>
      </c>
      <c r="C218" s="206">
        <v>30.16</v>
      </c>
      <c r="D218" s="251"/>
      <c r="E218" s="206"/>
      <c r="I218" s="206">
        <v>2.09</v>
      </c>
      <c r="J218" s="206"/>
      <c r="K218" s="231"/>
      <c r="L218" s="231"/>
      <c r="M218" s="231"/>
      <c r="N218" s="231"/>
      <c r="O218" s="231"/>
      <c r="P218" s="231"/>
      <c r="Q218" s="231"/>
    </row>
    <row r="219" spans="1:17" ht="15.6" customHeight="1" x14ac:dyDescent="0.3">
      <c r="A219" s="281" t="s">
        <v>568</v>
      </c>
      <c r="B219" s="282" t="s">
        <v>201</v>
      </c>
      <c r="C219" s="206">
        <v>28.25</v>
      </c>
      <c r="D219" s="251"/>
      <c r="E219" s="206"/>
      <c r="I219" s="206">
        <v>2.09</v>
      </c>
      <c r="J219" s="206"/>
      <c r="K219" s="231"/>
      <c r="L219" s="231"/>
      <c r="M219" s="231"/>
      <c r="N219" s="231"/>
      <c r="O219" s="231"/>
      <c r="P219" s="231"/>
      <c r="Q219" s="231"/>
    </row>
    <row r="220" spans="1:17" ht="15.6" customHeight="1" x14ac:dyDescent="0.3">
      <c r="A220" s="281"/>
      <c r="B220" s="282"/>
      <c r="C220" s="206"/>
      <c r="D220" s="251"/>
      <c r="E220" s="206"/>
      <c r="H220" s="206"/>
      <c r="I220" s="206"/>
      <c r="J220" s="206"/>
      <c r="K220" s="231"/>
      <c r="L220" s="231"/>
      <c r="M220" s="231"/>
      <c r="N220" s="231"/>
      <c r="O220" s="231"/>
      <c r="P220" s="231"/>
      <c r="Q220" s="231"/>
    </row>
    <row r="221" spans="1:17" ht="15.6" customHeight="1" x14ac:dyDescent="0.3">
      <c r="A221" s="281" t="s">
        <v>569</v>
      </c>
      <c r="B221" s="282"/>
      <c r="C221" s="206" t="s">
        <v>162</v>
      </c>
      <c r="D221" s="251" t="s">
        <v>163</v>
      </c>
      <c r="E221" s="206" t="s">
        <v>162</v>
      </c>
      <c r="F221" s="204" t="s">
        <v>163</v>
      </c>
      <c r="H221" s="206"/>
      <c r="I221" s="206"/>
      <c r="J221" s="206"/>
      <c r="K221" s="231"/>
      <c r="L221" s="231"/>
      <c r="M221" s="231"/>
      <c r="N221" s="231"/>
      <c r="O221" s="231"/>
      <c r="P221" s="231"/>
      <c r="Q221" s="231"/>
    </row>
    <row r="222" spans="1:17" ht="15.6" customHeight="1" x14ac:dyDescent="0.3">
      <c r="A222" s="281" t="s">
        <v>516</v>
      </c>
      <c r="B222" s="282"/>
      <c r="C222" s="206" t="s">
        <v>2</v>
      </c>
      <c r="D222" s="251" t="s">
        <v>2</v>
      </c>
      <c r="E222" s="206" t="s">
        <v>3</v>
      </c>
      <c r="F222" s="204" t="s">
        <v>3</v>
      </c>
      <c r="H222" s="206"/>
      <c r="I222" s="206"/>
      <c r="J222" s="206"/>
      <c r="K222" s="231"/>
      <c r="L222" s="231"/>
      <c r="M222" s="231"/>
      <c r="N222" s="231"/>
      <c r="O222" s="231"/>
      <c r="P222" s="231"/>
      <c r="Q222" s="231"/>
    </row>
    <row r="223" spans="1:17" ht="15.6" customHeight="1" x14ac:dyDescent="0.3">
      <c r="A223" s="281">
        <v>40501001</v>
      </c>
      <c r="B223" s="282" t="s">
        <v>442</v>
      </c>
      <c r="C223" s="206">
        <v>3508.62</v>
      </c>
      <c r="D223" s="251">
        <v>4090.86</v>
      </c>
      <c r="E223" s="206">
        <v>3481.81</v>
      </c>
      <c r="F223" s="204">
        <v>4051.65</v>
      </c>
      <c r="H223" s="206"/>
      <c r="I223" s="206">
        <v>1.5</v>
      </c>
      <c r="J223" s="206">
        <v>1.5</v>
      </c>
      <c r="K223" s="231"/>
      <c r="L223" s="231"/>
      <c r="M223" s="231"/>
      <c r="N223" s="231"/>
      <c r="O223" s="231"/>
      <c r="P223" s="231"/>
      <c r="Q223" s="231"/>
    </row>
    <row r="224" spans="1:17" ht="15.6" customHeight="1" x14ac:dyDescent="0.3">
      <c r="A224" s="281">
        <v>40501002</v>
      </c>
      <c r="B224" s="282" t="s">
        <v>443</v>
      </c>
      <c r="C224" s="206">
        <v>3508.62</v>
      </c>
      <c r="D224" s="251">
        <v>4090.86</v>
      </c>
      <c r="E224" s="206">
        <v>3481.81</v>
      </c>
      <c r="F224" s="204">
        <v>4051.65</v>
      </c>
      <c r="H224" s="206"/>
      <c r="I224" s="206">
        <v>1.5</v>
      </c>
      <c r="J224" s="206">
        <v>1.5</v>
      </c>
      <c r="K224" s="231"/>
      <c r="L224" s="231"/>
      <c r="M224" s="231"/>
      <c r="N224" s="231"/>
      <c r="O224" s="231"/>
      <c r="P224" s="231"/>
      <c r="Q224" s="231"/>
    </row>
    <row r="225" spans="1:17" ht="15.6" customHeight="1" x14ac:dyDescent="0.3">
      <c r="A225" s="281">
        <v>40504004</v>
      </c>
      <c r="B225" s="282" t="s">
        <v>444</v>
      </c>
      <c r="C225" s="206">
        <v>2406.7199999999998</v>
      </c>
      <c r="D225" s="251">
        <v>2729.09</v>
      </c>
      <c r="E225" s="206">
        <v>2385.48</v>
      </c>
      <c r="F225" s="204">
        <v>2703</v>
      </c>
      <c r="H225" s="206"/>
      <c r="I225" s="206">
        <v>1.5</v>
      </c>
      <c r="J225" s="206">
        <v>1.5</v>
      </c>
      <c r="K225" s="231"/>
      <c r="L225" s="231"/>
      <c r="M225" s="231"/>
      <c r="N225" s="231"/>
      <c r="O225" s="231"/>
      <c r="P225" s="231"/>
      <c r="Q225" s="231"/>
    </row>
    <row r="226" spans="1:17" ht="15.6" customHeight="1" x14ac:dyDescent="0.3">
      <c r="A226" s="281">
        <v>40504005</v>
      </c>
      <c r="B226" s="282" t="s">
        <v>445</v>
      </c>
      <c r="C226" s="206">
        <v>2497.46</v>
      </c>
      <c r="D226" s="251">
        <v>2880.8</v>
      </c>
      <c r="E226" s="206">
        <v>2474.77</v>
      </c>
      <c r="F226" s="204">
        <v>2853.23</v>
      </c>
      <c r="H226" s="206"/>
      <c r="I226" s="206">
        <v>1.5</v>
      </c>
      <c r="J226" s="206">
        <v>1.5</v>
      </c>
      <c r="K226" s="231"/>
      <c r="L226" s="231"/>
      <c r="M226" s="231"/>
      <c r="N226" s="231"/>
      <c r="O226" s="231"/>
      <c r="P226" s="231"/>
      <c r="Q226" s="231"/>
    </row>
    <row r="227" spans="1:17" ht="15.6" customHeight="1" x14ac:dyDescent="0.3">
      <c r="A227" s="281"/>
      <c r="B227" s="282"/>
      <c r="C227" s="206"/>
      <c r="D227" s="251"/>
      <c r="E227" s="206"/>
      <c r="H227" s="206"/>
      <c r="I227" s="206"/>
      <c r="J227" s="206"/>
      <c r="K227" s="231"/>
      <c r="L227" s="231"/>
      <c r="M227" s="231"/>
      <c r="N227" s="231"/>
      <c r="O227" s="231"/>
      <c r="P227" s="231"/>
      <c r="Q227" s="231"/>
    </row>
    <row r="228" spans="1:17" ht="15.6" customHeight="1" x14ac:dyDescent="0.3">
      <c r="A228" s="281" t="s">
        <v>570</v>
      </c>
      <c r="B228" s="282"/>
      <c r="C228" s="206" t="s">
        <v>162</v>
      </c>
      <c r="D228" s="251" t="s">
        <v>163</v>
      </c>
      <c r="E228" s="206"/>
      <c r="H228" s="206"/>
      <c r="I228" s="206"/>
      <c r="J228" s="206"/>
      <c r="K228" s="231"/>
      <c r="L228" s="231"/>
      <c r="M228" s="231"/>
      <c r="N228" s="231"/>
      <c r="O228" s="231"/>
      <c r="P228" s="231"/>
      <c r="Q228" s="231"/>
    </row>
    <row r="229" spans="1:17" ht="15.6" customHeight="1" x14ac:dyDescent="0.3">
      <c r="A229" s="281" t="s">
        <v>571</v>
      </c>
      <c r="B229" s="282" t="s">
        <v>195</v>
      </c>
      <c r="C229" s="206">
        <v>27.01</v>
      </c>
      <c r="D229" s="251">
        <v>34.61</v>
      </c>
      <c r="E229" s="206"/>
      <c r="H229" s="206"/>
      <c r="I229" s="206">
        <v>2.09</v>
      </c>
      <c r="J229" s="206">
        <v>2.09</v>
      </c>
      <c r="K229" s="231"/>
      <c r="L229" s="231"/>
      <c r="M229" s="231"/>
      <c r="N229" s="231"/>
      <c r="O229" s="231"/>
      <c r="P229" s="231"/>
      <c r="Q229" s="231"/>
    </row>
    <row r="230" spans="1:17" ht="15.6" customHeight="1" x14ac:dyDescent="0.3">
      <c r="A230" s="283"/>
      <c r="B230" s="284"/>
      <c r="C230" s="207"/>
      <c r="D230" s="264"/>
      <c r="E230" s="207"/>
      <c r="H230" s="206"/>
      <c r="I230" s="206"/>
      <c r="J230" s="206"/>
      <c r="K230" s="231"/>
      <c r="L230" s="231"/>
      <c r="M230" s="231"/>
      <c r="N230" s="231"/>
      <c r="O230" s="231"/>
      <c r="P230" s="231"/>
      <c r="Q230" s="231"/>
    </row>
    <row r="231" spans="1:17" ht="15.6" customHeight="1" x14ac:dyDescent="0.3">
      <c r="A231" s="280" t="s">
        <v>572</v>
      </c>
      <c r="B231" s="284"/>
      <c r="C231" s="207" t="s">
        <v>162</v>
      </c>
      <c r="D231" s="207" t="s">
        <v>163</v>
      </c>
      <c r="E231" s="207" t="s">
        <v>162</v>
      </c>
      <c r="F231" s="204" t="s">
        <v>163</v>
      </c>
      <c r="H231" s="206"/>
      <c r="I231" s="206"/>
      <c r="J231" s="206"/>
      <c r="K231" s="231"/>
      <c r="L231" s="231"/>
      <c r="M231" s="231"/>
      <c r="N231" s="231"/>
      <c r="O231" s="231"/>
      <c r="P231" s="231"/>
      <c r="Q231" s="231"/>
    </row>
    <row r="232" spans="1:17" ht="15.6" customHeight="1" x14ac:dyDescent="0.3">
      <c r="A232" s="280" t="s">
        <v>538</v>
      </c>
      <c r="B232" s="284"/>
      <c r="C232" s="255" t="s">
        <v>2</v>
      </c>
      <c r="D232" s="261" t="s">
        <v>2</v>
      </c>
      <c r="E232" s="255" t="s">
        <v>3</v>
      </c>
      <c r="F232" s="204" t="s">
        <v>3</v>
      </c>
      <c r="I232" s="206"/>
      <c r="J232" s="206"/>
      <c r="K232" s="231"/>
      <c r="L232" s="231"/>
      <c r="M232" s="231"/>
      <c r="N232" s="231"/>
      <c r="O232" s="231"/>
      <c r="P232" s="231"/>
      <c r="Q232" s="231"/>
    </row>
    <row r="233" spans="1:17" ht="15.6" customHeight="1" x14ac:dyDescent="0.3">
      <c r="A233" s="281">
        <v>40601001</v>
      </c>
      <c r="B233" s="282" t="s">
        <v>424</v>
      </c>
      <c r="C233" s="206">
        <v>3980.51</v>
      </c>
      <c r="D233" s="251">
        <v>4807.04</v>
      </c>
      <c r="E233" s="206">
        <v>3942.4</v>
      </c>
      <c r="F233" s="204">
        <v>4762.6899999999996</v>
      </c>
      <c r="I233" s="206">
        <v>1.5</v>
      </c>
      <c r="J233" s="206">
        <v>1.5</v>
      </c>
      <c r="K233" s="231"/>
      <c r="L233" s="231"/>
      <c r="M233" s="231"/>
      <c r="N233" s="231"/>
      <c r="O233" s="231"/>
      <c r="P233" s="231"/>
      <c r="Q233" s="231"/>
    </row>
    <row r="234" spans="1:17" ht="15.6" customHeight="1" x14ac:dyDescent="0.3">
      <c r="A234" s="281">
        <v>40602002</v>
      </c>
      <c r="B234" s="282" t="s">
        <v>435</v>
      </c>
      <c r="C234" s="206">
        <v>3369.97</v>
      </c>
      <c r="D234" s="251">
        <v>4259.3500000000004</v>
      </c>
      <c r="E234" s="206">
        <v>3337.72</v>
      </c>
      <c r="F234" s="204">
        <v>4218.63</v>
      </c>
      <c r="I234" s="206">
        <v>1.5</v>
      </c>
      <c r="J234" s="206">
        <v>1.5</v>
      </c>
      <c r="K234" s="231"/>
      <c r="L234" s="231"/>
      <c r="M234" s="231"/>
      <c r="N234" s="231"/>
      <c r="O234" s="231"/>
      <c r="P234" s="231"/>
      <c r="Q234" s="231"/>
    </row>
    <row r="235" spans="1:17" ht="15.6" customHeight="1" x14ac:dyDescent="0.3">
      <c r="A235" s="281">
        <v>40604006</v>
      </c>
      <c r="B235" s="282" t="s">
        <v>436</v>
      </c>
      <c r="C235" s="206">
        <v>2835.87</v>
      </c>
      <c r="D235" s="251"/>
      <c r="E235" s="206">
        <v>2809</v>
      </c>
      <c r="H235" s="206"/>
      <c r="I235" s="206">
        <v>1.5</v>
      </c>
      <c r="J235" s="206">
        <v>1.5</v>
      </c>
      <c r="K235" s="231"/>
      <c r="L235" s="231"/>
      <c r="M235" s="231"/>
      <c r="N235" s="231"/>
      <c r="O235" s="231"/>
      <c r="P235" s="231"/>
      <c r="Q235" s="231"/>
    </row>
    <row r="236" spans="1:17" ht="15.6" customHeight="1" x14ac:dyDescent="0.3">
      <c r="A236" s="281">
        <v>40604007</v>
      </c>
      <c r="B236" s="282" t="s">
        <v>446</v>
      </c>
      <c r="C236" s="206">
        <v>2551.59</v>
      </c>
      <c r="D236" s="251"/>
      <c r="E236" s="206">
        <v>2527.4299999999998</v>
      </c>
      <c r="H236" s="206"/>
      <c r="I236" s="206">
        <v>1.5</v>
      </c>
      <c r="J236" s="206">
        <v>1.5</v>
      </c>
      <c r="K236" s="231"/>
      <c r="L236" s="231"/>
      <c r="M236" s="231"/>
      <c r="N236" s="231"/>
      <c r="O236" s="231"/>
      <c r="P236" s="231"/>
      <c r="Q236" s="231"/>
    </row>
    <row r="237" spans="1:17" ht="15.6" customHeight="1" x14ac:dyDescent="0.3">
      <c r="A237" s="281">
        <v>40604008</v>
      </c>
      <c r="B237" s="282" t="s">
        <v>447</v>
      </c>
      <c r="C237" s="206">
        <v>3139.7</v>
      </c>
      <c r="D237" s="251">
        <v>3484.42</v>
      </c>
      <c r="E237" s="206"/>
      <c r="H237" s="206"/>
      <c r="I237" s="206">
        <v>1.5</v>
      </c>
      <c r="J237" s="206">
        <v>1.5</v>
      </c>
      <c r="K237" s="231"/>
      <c r="L237" s="231"/>
      <c r="M237" s="231"/>
      <c r="N237" s="231"/>
      <c r="O237" s="231"/>
      <c r="P237" s="231"/>
      <c r="Q237" s="231"/>
    </row>
    <row r="238" spans="1:17" ht="15.6" customHeight="1" x14ac:dyDescent="0.3">
      <c r="A238" s="281">
        <v>40604009</v>
      </c>
      <c r="B238" s="282" t="s">
        <v>448</v>
      </c>
      <c r="C238" s="206">
        <v>2839.68</v>
      </c>
      <c r="D238" s="251">
        <v>3090.18</v>
      </c>
      <c r="E238" s="206"/>
      <c r="H238" s="206"/>
      <c r="I238" s="206">
        <v>1.5</v>
      </c>
      <c r="J238" s="206">
        <v>1.5</v>
      </c>
      <c r="K238" s="231"/>
      <c r="L238" s="231"/>
      <c r="M238" s="231"/>
      <c r="N238" s="231"/>
      <c r="O238" s="231"/>
      <c r="P238" s="231"/>
      <c r="Q238" s="231"/>
    </row>
    <row r="239" spans="1:17" ht="15.6" customHeight="1" x14ac:dyDescent="0.3">
      <c r="A239" s="283"/>
      <c r="B239" s="284"/>
      <c r="C239" s="207"/>
      <c r="D239" s="264"/>
      <c r="E239" s="207"/>
      <c r="H239" s="206"/>
      <c r="I239" s="206"/>
      <c r="J239" s="206"/>
      <c r="K239" s="231"/>
      <c r="L239" s="231"/>
      <c r="M239" s="231"/>
      <c r="N239" s="231"/>
      <c r="O239" s="231"/>
      <c r="P239" s="231"/>
      <c r="Q239" s="231"/>
    </row>
    <row r="240" spans="1:17" ht="15.6" customHeight="1" x14ac:dyDescent="0.3">
      <c r="A240" s="280" t="s">
        <v>570</v>
      </c>
      <c r="B240" s="284"/>
      <c r="C240" s="207" t="s">
        <v>162</v>
      </c>
      <c r="D240" s="207" t="s">
        <v>163</v>
      </c>
      <c r="E240" s="207"/>
      <c r="H240" s="206"/>
      <c r="I240" s="206"/>
      <c r="J240" s="206"/>
      <c r="K240" s="231"/>
      <c r="L240" s="231"/>
      <c r="M240" s="231"/>
      <c r="N240" s="231"/>
      <c r="O240" s="231"/>
      <c r="P240" s="231"/>
      <c r="Q240" s="231"/>
    </row>
    <row r="241" spans="1:17" ht="15.6" customHeight="1" x14ac:dyDescent="0.3">
      <c r="A241" s="280" t="s">
        <v>573</v>
      </c>
      <c r="B241" s="284" t="s">
        <v>197</v>
      </c>
      <c r="C241" s="255">
        <v>27.51</v>
      </c>
      <c r="D241" s="261">
        <v>31.56</v>
      </c>
      <c r="E241" s="255"/>
      <c r="I241" s="206">
        <v>2.09</v>
      </c>
      <c r="J241" s="206">
        <v>2.09</v>
      </c>
      <c r="K241" s="231"/>
      <c r="L241" s="231"/>
      <c r="M241" s="231"/>
      <c r="N241" s="231"/>
      <c r="O241" s="231"/>
      <c r="P241" s="231"/>
      <c r="Q241" s="231"/>
    </row>
    <row r="242" spans="1:17" ht="15.6" customHeight="1" x14ac:dyDescent="0.3">
      <c r="A242" s="281"/>
      <c r="B242" s="282"/>
      <c r="C242" s="206"/>
      <c r="D242" s="251"/>
      <c r="E242" s="206"/>
      <c r="I242" s="206"/>
      <c r="J242" s="206"/>
      <c r="K242" s="231"/>
      <c r="L242" s="231"/>
      <c r="M242" s="231"/>
      <c r="N242" s="231"/>
      <c r="O242" s="231"/>
      <c r="P242" s="231"/>
      <c r="Q242" s="231"/>
    </row>
    <row r="243" spans="1:17" ht="15.6" customHeight="1" x14ac:dyDescent="0.3">
      <c r="A243" s="281" t="s">
        <v>512</v>
      </c>
      <c r="B243" s="282"/>
      <c r="C243" s="206" t="s">
        <v>520</v>
      </c>
      <c r="D243" s="251"/>
      <c r="E243" s="206"/>
      <c r="I243" s="206"/>
      <c r="J243" s="206"/>
      <c r="K243" s="231"/>
      <c r="L243" s="231"/>
      <c r="M243" s="231"/>
      <c r="N243" s="231"/>
      <c r="O243" s="231"/>
      <c r="P243" s="231"/>
      <c r="Q243" s="231"/>
    </row>
    <row r="244" spans="1:17" ht="15.6" customHeight="1" x14ac:dyDescent="0.3">
      <c r="A244" s="281"/>
      <c r="B244" s="282" t="s">
        <v>574</v>
      </c>
      <c r="C244" s="206">
        <v>71.87</v>
      </c>
      <c r="D244" s="251"/>
      <c r="E244" s="206"/>
      <c r="H244" s="206"/>
      <c r="I244" s="206">
        <v>1.5</v>
      </c>
      <c r="J244" s="206"/>
      <c r="K244" s="231"/>
      <c r="L244" s="231"/>
      <c r="M244" s="231"/>
      <c r="N244" s="231"/>
      <c r="O244" s="231"/>
      <c r="P244" s="231"/>
      <c r="Q244" s="231"/>
    </row>
    <row r="245" spans="1:17" ht="15.6" customHeight="1" x14ac:dyDescent="0.3">
      <c r="A245" s="281"/>
      <c r="B245" s="282"/>
      <c r="C245" s="206"/>
      <c r="D245" s="251"/>
      <c r="E245" s="206"/>
      <c r="H245" s="206"/>
      <c r="I245" s="206"/>
      <c r="J245" s="206"/>
      <c r="K245" s="231"/>
      <c r="L245" s="231"/>
      <c r="M245" s="231"/>
      <c r="N245" s="231"/>
      <c r="O245" s="231"/>
      <c r="P245" s="231"/>
      <c r="Q245" s="231"/>
    </row>
    <row r="246" spans="1:17" ht="15.6" customHeight="1" x14ac:dyDescent="0.3">
      <c r="A246" s="281" t="s">
        <v>575</v>
      </c>
      <c r="B246" s="282"/>
      <c r="C246" s="206" t="s">
        <v>162</v>
      </c>
      <c r="D246" s="251" t="s">
        <v>163</v>
      </c>
      <c r="E246" s="206" t="s">
        <v>162</v>
      </c>
      <c r="F246" s="204" t="s">
        <v>163</v>
      </c>
      <c r="H246" s="206"/>
      <c r="I246" s="206"/>
      <c r="J246" s="206"/>
      <c r="K246" s="231"/>
      <c r="L246" s="231"/>
      <c r="M246" s="231"/>
      <c r="N246" s="231"/>
      <c r="O246" s="231"/>
      <c r="P246" s="231"/>
      <c r="Q246" s="231"/>
    </row>
    <row r="247" spans="1:17" ht="15.6" customHeight="1" x14ac:dyDescent="0.3">
      <c r="A247" s="281" t="s">
        <v>538</v>
      </c>
      <c r="B247" s="282"/>
      <c r="C247" s="206" t="s">
        <v>2</v>
      </c>
      <c r="D247" s="251" t="s">
        <v>2</v>
      </c>
      <c r="E247" s="206" t="s">
        <v>3</v>
      </c>
      <c r="F247" s="204" t="s">
        <v>3</v>
      </c>
      <c r="H247" s="206"/>
      <c r="I247" s="206"/>
      <c r="J247" s="206"/>
      <c r="K247" s="231"/>
      <c r="L247" s="231"/>
      <c r="M247" s="231"/>
      <c r="N247" s="231"/>
      <c r="O247" s="231"/>
      <c r="P247" s="231"/>
      <c r="Q247" s="231"/>
    </row>
    <row r="248" spans="1:17" ht="15.6" customHeight="1" x14ac:dyDescent="0.3">
      <c r="A248" s="281">
        <v>40701011</v>
      </c>
      <c r="B248" s="282" t="s">
        <v>424</v>
      </c>
      <c r="C248" s="206">
        <v>3869</v>
      </c>
      <c r="D248" s="251">
        <v>4626.46</v>
      </c>
      <c r="E248" s="206">
        <v>3831.99</v>
      </c>
      <c r="F248" s="204">
        <v>4565.97</v>
      </c>
      <c r="H248" s="206"/>
      <c r="I248" s="206">
        <v>1.5</v>
      </c>
      <c r="J248" s="206">
        <v>1.5</v>
      </c>
      <c r="K248" s="231"/>
      <c r="L248" s="231"/>
      <c r="M248" s="231"/>
      <c r="N248" s="231"/>
      <c r="O248" s="231"/>
      <c r="P248" s="231"/>
      <c r="Q248" s="231"/>
    </row>
    <row r="249" spans="1:17" ht="15.6" customHeight="1" x14ac:dyDescent="0.3">
      <c r="A249" s="281">
        <v>40704021</v>
      </c>
      <c r="B249" s="282" t="s">
        <v>449</v>
      </c>
      <c r="C249" s="206">
        <v>3586.95</v>
      </c>
      <c r="D249" s="251"/>
      <c r="E249" s="206">
        <v>3552.93</v>
      </c>
      <c r="H249" s="206"/>
      <c r="I249" s="206">
        <v>1.5</v>
      </c>
      <c r="J249" s="206">
        <v>1.5</v>
      </c>
      <c r="K249" s="231"/>
      <c r="L249" s="231"/>
      <c r="M249" s="231"/>
      <c r="N249" s="231"/>
      <c r="O249" s="231"/>
      <c r="P249" s="231"/>
      <c r="Q249" s="231"/>
    </row>
    <row r="250" spans="1:17" ht="15.6" customHeight="1" x14ac:dyDescent="0.3">
      <c r="A250" s="281">
        <v>40704022</v>
      </c>
      <c r="B250" s="282" t="s">
        <v>450</v>
      </c>
      <c r="C250" s="206">
        <v>3497.13</v>
      </c>
      <c r="D250" s="251"/>
      <c r="E250" s="206">
        <v>3463.95</v>
      </c>
      <c r="H250" s="206"/>
      <c r="I250" s="206">
        <v>1.5</v>
      </c>
      <c r="J250" s="206">
        <v>1.5</v>
      </c>
      <c r="K250" s="231"/>
      <c r="L250" s="231"/>
      <c r="M250" s="231"/>
      <c r="N250" s="231"/>
      <c r="O250" s="231"/>
      <c r="P250" s="231"/>
      <c r="Q250" s="231"/>
    </row>
    <row r="251" spans="1:17" ht="15.6" customHeight="1" x14ac:dyDescent="0.3">
      <c r="A251" s="281">
        <v>40704023</v>
      </c>
      <c r="B251" s="282" t="s">
        <v>451</v>
      </c>
      <c r="C251" s="206">
        <v>3002.52</v>
      </c>
      <c r="D251" s="251"/>
      <c r="E251" s="206">
        <v>2974.05</v>
      </c>
      <c r="H251" s="206"/>
      <c r="I251" s="206">
        <v>1.5</v>
      </c>
      <c r="J251" s="206">
        <v>1.5</v>
      </c>
      <c r="K251" s="231"/>
      <c r="L251" s="231"/>
      <c r="M251" s="231"/>
      <c r="N251" s="231"/>
      <c r="O251" s="231"/>
      <c r="P251" s="231"/>
      <c r="Q251" s="231"/>
    </row>
    <row r="252" spans="1:17" ht="15.6" customHeight="1" x14ac:dyDescent="0.3">
      <c r="A252" s="281"/>
      <c r="B252" s="282"/>
      <c r="C252" s="206"/>
      <c r="D252" s="251"/>
      <c r="E252" s="206"/>
      <c r="H252" s="206"/>
      <c r="I252" s="206"/>
      <c r="J252" s="206"/>
      <c r="K252" s="231"/>
      <c r="L252" s="231"/>
      <c r="M252" s="231"/>
      <c r="N252" s="231"/>
      <c r="O252" s="231"/>
      <c r="P252" s="231"/>
      <c r="Q252" s="231"/>
    </row>
    <row r="253" spans="1:17" ht="15.6" customHeight="1" x14ac:dyDescent="0.3">
      <c r="A253" s="281" t="s">
        <v>570</v>
      </c>
      <c r="B253" s="282"/>
      <c r="C253" s="206" t="s">
        <v>162</v>
      </c>
      <c r="D253" s="251" t="s">
        <v>163</v>
      </c>
      <c r="E253" s="206"/>
      <c r="H253" s="206"/>
      <c r="I253" s="206"/>
      <c r="J253" s="206"/>
      <c r="K253" s="231"/>
      <c r="L253" s="231"/>
      <c r="M253" s="231"/>
      <c r="N253" s="231"/>
      <c r="O253" s="231"/>
      <c r="P253" s="231"/>
      <c r="Q253" s="231"/>
    </row>
    <row r="254" spans="1:17" ht="15.6" customHeight="1" x14ac:dyDescent="0.3">
      <c r="A254" s="283" t="s">
        <v>576</v>
      </c>
      <c r="B254" s="284" t="s">
        <v>229</v>
      </c>
      <c r="C254" s="207">
        <v>27.51</v>
      </c>
      <c r="D254" s="206">
        <v>31.56</v>
      </c>
      <c r="E254" s="207"/>
      <c r="H254" s="206"/>
      <c r="I254" s="206">
        <v>2.09</v>
      </c>
      <c r="J254" s="206">
        <v>2.09</v>
      </c>
      <c r="K254" s="231"/>
      <c r="L254" s="231"/>
      <c r="M254" s="231"/>
      <c r="N254" s="231"/>
      <c r="O254" s="231"/>
      <c r="P254" s="231"/>
      <c r="Q254" s="231"/>
    </row>
    <row r="255" spans="1:17" ht="15.6" customHeight="1" x14ac:dyDescent="0.3">
      <c r="A255" s="280"/>
      <c r="B255" s="279"/>
      <c r="C255" s="267"/>
      <c r="D255" s="207"/>
      <c r="E255" s="267"/>
      <c r="H255" s="206"/>
      <c r="I255" s="206"/>
      <c r="J255" s="206"/>
      <c r="K255" s="231"/>
      <c r="L255" s="231"/>
      <c r="M255" s="231"/>
      <c r="N255" s="231"/>
      <c r="O255" s="231"/>
      <c r="P255" s="231"/>
      <c r="Q255" s="231"/>
    </row>
    <row r="256" spans="1:17" ht="15.6" customHeight="1" x14ac:dyDescent="0.3">
      <c r="A256" s="280" t="s">
        <v>577</v>
      </c>
      <c r="B256" s="279" t="s">
        <v>578</v>
      </c>
      <c r="C256" s="255"/>
      <c r="D256" s="255"/>
      <c r="E256" s="255"/>
      <c r="I256" s="206"/>
      <c r="J256" s="206"/>
      <c r="K256" s="231"/>
      <c r="L256" s="231"/>
      <c r="M256" s="231"/>
      <c r="N256" s="231"/>
      <c r="O256" s="231"/>
      <c r="P256" s="231"/>
      <c r="Q256" s="231"/>
    </row>
    <row r="257" spans="1:17" ht="15.6" customHeight="1" x14ac:dyDescent="0.3">
      <c r="A257" s="281" t="s">
        <v>538</v>
      </c>
      <c r="B257" s="282"/>
      <c r="C257" s="206" t="s">
        <v>520</v>
      </c>
      <c r="D257" s="251"/>
      <c r="E257" s="206"/>
      <c r="F257" s="205"/>
      <c r="G257" s="205"/>
      <c r="H257" s="205"/>
      <c r="I257" s="206"/>
      <c r="J257" s="206"/>
      <c r="K257" s="231"/>
      <c r="L257" s="231"/>
      <c r="M257" s="231"/>
      <c r="N257" s="231"/>
      <c r="O257" s="231"/>
      <c r="P257" s="231"/>
      <c r="Q257" s="231"/>
    </row>
    <row r="258" spans="1:17" ht="15.6" customHeight="1" x14ac:dyDescent="0.3">
      <c r="A258" s="281">
        <v>45000020</v>
      </c>
      <c r="B258" s="282" t="s">
        <v>462</v>
      </c>
      <c r="C258" s="206">
        <v>3225.57</v>
      </c>
      <c r="D258" s="251"/>
      <c r="E258" s="206"/>
      <c r="F258" s="205"/>
      <c r="G258" s="205"/>
      <c r="H258" s="205"/>
      <c r="I258" s="206">
        <v>1.5</v>
      </c>
      <c r="J258" s="206"/>
      <c r="K258" s="231"/>
      <c r="L258" s="231"/>
      <c r="M258" s="231"/>
      <c r="N258" s="231"/>
      <c r="O258" s="231"/>
      <c r="P258" s="231"/>
      <c r="Q258" s="231"/>
    </row>
    <row r="259" spans="1:17" ht="15.6" customHeight="1" x14ac:dyDescent="0.3">
      <c r="A259" s="281">
        <v>45000030</v>
      </c>
      <c r="B259" s="282" t="s">
        <v>463</v>
      </c>
      <c r="C259" s="206">
        <v>3002.63</v>
      </c>
      <c r="D259" s="251"/>
      <c r="E259" s="206"/>
      <c r="H259" s="206"/>
      <c r="I259" s="206">
        <v>1.5</v>
      </c>
      <c r="J259" s="206"/>
      <c r="K259" s="231"/>
      <c r="L259" s="231"/>
      <c r="M259" s="231"/>
      <c r="N259" s="231"/>
      <c r="O259" s="231"/>
      <c r="P259" s="231"/>
      <c r="Q259" s="231"/>
    </row>
    <row r="260" spans="1:17" ht="15.6" customHeight="1" x14ac:dyDescent="0.3">
      <c r="A260" s="281">
        <v>45001042</v>
      </c>
      <c r="B260" s="282" t="s">
        <v>579</v>
      </c>
      <c r="C260" s="206">
        <v>2853.22</v>
      </c>
      <c r="D260" s="251"/>
      <c r="E260" s="206"/>
      <c r="H260" s="206"/>
      <c r="I260" s="206">
        <v>1.5</v>
      </c>
      <c r="J260" s="206"/>
      <c r="K260" s="231"/>
      <c r="L260" s="231"/>
      <c r="M260" s="231"/>
      <c r="N260" s="231"/>
      <c r="O260" s="231"/>
      <c r="P260" s="231"/>
      <c r="Q260" s="231"/>
    </row>
    <row r="261" spans="1:17" ht="15.6" customHeight="1" x14ac:dyDescent="0.3">
      <c r="A261" s="285">
        <v>45000042</v>
      </c>
      <c r="B261" s="284" t="s">
        <v>580</v>
      </c>
      <c r="C261" s="204">
        <v>2853.22</v>
      </c>
      <c r="H261" s="206"/>
      <c r="I261" s="206">
        <v>1.5</v>
      </c>
      <c r="J261" s="206"/>
      <c r="K261" s="231"/>
      <c r="L261" s="231"/>
      <c r="M261" s="231"/>
      <c r="N261" s="231"/>
      <c r="O261" s="231"/>
      <c r="P261" s="231"/>
      <c r="Q261" s="231"/>
    </row>
    <row r="262" spans="1:17" ht="15.6" customHeight="1" x14ac:dyDescent="0.3">
      <c r="A262" s="280">
        <v>45001044</v>
      </c>
      <c r="B262" s="284" t="s">
        <v>581</v>
      </c>
      <c r="C262" s="207">
        <v>2680.01</v>
      </c>
      <c r="E262" s="207"/>
      <c r="H262" s="206"/>
      <c r="I262" s="206">
        <v>1.5</v>
      </c>
      <c r="J262" s="206"/>
      <c r="K262" s="231"/>
      <c r="L262" s="231"/>
      <c r="M262" s="231"/>
      <c r="N262" s="231"/>
      <c r="O262" s="231"/>
      <c r="P262" s="231"/>
      <c r="Q262" s="231"/>
    </row>
    <row r="263" spans="1:17" ht="15.6" customHeight="1" x14ac:dyDescent="0.3">
      <c r="A263" s="280">
        <v>45000044</v>
      </c>
      <c r="B263" s="284" t="s">
        <v>582</v>
      </c>
      <c r="C263" s="255">
        <v>2680.01</v>
      </c>
      <c r="D263" s="255"/>
      <c r="E263" s="255"/>
      <c r="I263" s="206">
        <v>1.5</v>
      </c>
      <c r="J263" s="206"/>
      <c r="K263" s="231"/>
      <c r="L263" s="231"/>
      <c r="M263" s="231"/>
      <c r="N263" s="231"/>
      <c r="O263" s="231"/>
      <c r="P263" s="231"/>
      <c r="Q263" s="231"/>
    </row>
    <row r="264" spans="1:17" ht="15.6" customHeight="1" x14ac:dyDescent="0.3">
      <c r="A264" s="281"/>
      <c r="B264" s="282"/>
      <c r="C264" s="206"/>
      <c r="D264" s="251"/>
      <c r="E264" s="206"/>
      <c r="I264" s="206"/>
      <c r="J264" s="206"/>
      <c r="K264" s="231"/>
      <c r="L264" s="231"/>
      <c r="M264" s="231"/>
      <c r="N264" s="231"/>
      <c r="O264" s="231"/>
      <c r="P264" s="231"/>
      <c r="Q264" s="231"/>
    </row>
    <row r="265" spans="1:17" ht="15.6" customHeight="1" x14ac:dyDescent="0.3">
      <c r="A265" s="281" t="s">
        <v>583</v>
      </c>
      <c r="B265" s="282"/>
      <c r="C265" s="206"/>
      <c r="D265" s="251"/>
      <c r="E265" s="206"/>
      <c r="I265" s="206"/>
      <c r="J265" s="206"/>
      <c r="K265" s="231"/>
      <c r="L265" s="231"/>
      <c r="M265" s="231"/>
      <c r="N265" s="231"/>
      <c r="O265" s="231"/>
      <c r="P265" s="231"/>
      <c r="Q265" s="231"/>
    </row>
    <row r="266" spans="1:17" ht="15.6" customHeight="1" x14ac:dyDescent="0.3">
      <c r="A266" s="281" t="s">
        <v>584</v>
      </c>
      <c r="B266" s="282" t="s">
        <v>585</v>
      </c>
      <c r="C266" s="206">
        <v>2819.77</v>
      </c>
      <c r="D266" s="251"/>
      <c r="E266" s="206"/>
      <c r="H266" s="206"/>
      <c r="I266" s="206">
        <v>2.27</v>
      </c>
      <c r="J266" s="206"/>
      <c r="K266" s="231"/>
      <c r="L266" s="231"/>
      <c r="M266" s="231"/>
      <c r="N266" s="231"/>
      <c r="O266" s="231"/>
      <c r="P266" s="231"/>
      <c r="Q266" s="231"/>
    </row>
    <row r="267" spans="1:17" ht="15.6" customHeight="1" x14ac:dyDescent="0.3">
      <c r="A267" s="281" t="s">
        <v>586</v>
      </c>
      <c r="B267" s="282" t="s">
        <v>587</v>
      </c>
      <c r="C267" s="206">
        <v>2592.84</v>
      </c>
      <c r="D267" s="251"/>
      <c r="E267" s="206"/>
      <c r="H267" s="206"/>
      <c r="I267" s="206">
        <v>2.27</v>
      </c>
      <c r="J267" s="206"/>
      <c r="K267" s="231"/>
      <c r="L267" s="231"/>
      <c r="M267" s="231"/>
      <c r="N267" s="231"/>
      <c r="O267" s="231"/>
      <c r="P267" s="231"/>
      <c r="Q267" s="231"/>
    </row>
    <row r="268" spans="1:17" ht="15.6" customHeight="1" x14ac:dyDescent="0.3">
      <c r="A268" s="281"/>
      <c r="B268" s="282"/>
      <c r="C268" s="206"/>
      <c r="D268" s="251"/>
      <c r="E268" s="206"/>
      <c r="H268" s="206"/>
      <c r="I268" s="206"/>
      <c r="J268" s="206"/>
      <c r="K268" s="231"/>
      <c r="L268" s="231"/>
      <c r="M268" s="231"/>
      <c r="N268" s="231"/>
      <c r="O268" s="231"/>
      <c r="P268" s="231"/>
      <c r="Q268" s="231"/>
    </row>
    <row r="269" spans="1:17" ht="15.6" customHeight="1" x14ac:dyDescent="0.3">
      <c r="A269" s="281" t="s">
        <v>594</v>
      </c>
      <c r="B269" s="282"/>
      <c r="C269" s="206" t="s">
        <v>2</v>
      </c>
      <c r="D269" s="251"/>
      <c r="E269" s="206" t="s">
        <v>3</v>
      </c>
      <c r="H269" s="206"/>
      <c r="I269" s="206"/>
      <c r="J269" s="206"/>
      <c r="K269" s="231"/>
      <c r="L269" s="231"/>
      <c r="M269" s="231"/>
      <c r="N269" s="231"/>
      <c r="O269" s="231"/>
      <c r="P269" s="231"/>
      <c r="Q269" s="231"/>
    </row>
    <row r="270" spans="1:17" ht="15.6" customHeight="1" x14ac:dyDescent="0.3">
      <c r="A270" s="281">
        <v>40404098</v>
      </c>
      <c r="B270" s="282" t="s">
        <v>595</v>
      </c>
      <c r="C270" s="206">
        <v>4175.8599999999997</v>
      </c>
      <c r="D270" s="251"/>
      <c r="E270" s="206">
        <v>4141.1499999999996</v>
      </c>
      <c r="H270" s="206"/>
      <c r="I270" s="206">
        <v>1.5</v>
      </c>
      <c r="J270" s="206">
        <v>1.5</v>
      </c>
      <c r="K270" s="231"/>
      <c r="L270" s="231"/>
      <c r="M270" s="231"/>
      <c r="N270" s="231"/>
      <c r="O270" s="231"/>
      <c r="P270" s="231"/>
      <c r="Q270" s="231"/>
    </row>
    <row r="271" spans="1:17" ht="15.6" customHeight="1" x14ac:dyDescent="0.3">
      <c r="A271" s="281">
        <v>40404099</v>
      </c>
      <c r="B271" s="282" t="s">
        <v>596</v>
      </c>
      <c r="C271" s="206"/>
      <c r="D271" s="251"/>
      <c r="E271" s="206"/>
      <c r="H271" s="206"/>
      <c r="I271" s="206"/>
      <c r="J271" s="206"/>
      <c r="K271" s="231"/>
      <c r="L271" s="231"/>
      <c r="M271" s="231"/>
      <c r="N271" s="231"/>
      <c r="O271" s="231"/>
      <c r="P271" s="231"/>
      <c r="Q271" s="231"/>
    </row>
    <row r="272" spans="1:17" ht="15.6" customHeight="1" x14ac:dyDescent="0.3">
      <c r="A272" s="281">
        <v>40407098</v>
      </c>
      <c r="B272" s="282" t="s">
        <v>597</v>
      </c>
      <c r="C272" s="206">
        <v>4175.8599999999997</v>
      </c>
      <c r="D272" s="251"/>
      <c r="E272" s="206">
        <v>4141.1499999999996</v>
      </c>
      <c r="H272" s="206"/>
      <c r="I272" s="206">
        <v>1.5</v>
      </c>
      <c r="J272" s="206">
        <v>1.5</v>
      </c>
      <c r="K272" s="231"/>
      <c r="L272" s="231"/>
      <c r="M272" s="231"/>
      <c r="N272" s="231"/>
      <c r="O272" s="231"/>
      <c r="P272" s="231"/>
      <c r="Q272" s="231"/>
    </row>
    <row r="273" spans="1:17" ht="15.6" customHeight="1" x14ac:dyDescent="0.3">
      <c r="A273" s="281">
        <v>40407099</v>
      </c>
      <c r="B273" s="282" t="s">
        <v>598</v>
      </c>
      <c r="C273" s="206"/>
      <c r="D273" s="251"/>
      <c r="E273" s="206"/>
      <c r="H273" s="206"/>
      <c r="I273" s="206"/>
      <c r="J273" s="206"/>
      <c r="K273" s="231"/>
      <c r="L273" s="231"/>
      <c r="M273" s="231"/>
      <c r="N273" s="231"/>
      <c r="O273" s="231"/>
      <c r="P273" s="231"/>
      <c r="Q273" s="231"/>
    </row>
    <row r="274" spans="1:17" ht="15.6" customHeight="1" x14ac:dyDescent="0.3">
      <c r="A274" s="281"/>
      <c r="B274" s="282"/>
      <c r="C274" s="206"/>
      <c r="D274" s="251"/>
      <c r="E274" s="206"/>
      <c r="H274" s="206"/>
      <c r="I274" s="206"/>
      <c r="J274" s="206"/>
      <c r="K274" s="231"/>
      <c r="L274" s="231"/>
      <c r="M274" s="231"/>
      <c r="N274" s="231"/>
      <c r="O274" s="231"/>
      <c r="P274" s="231"/>
      <c r="Q274" s="231"/>
    </row>
    <row r="275" spans="1:17" ht="15.6" customHeight="1" x14ac:dyDescent="0.3">
      <c r="A275" s="281" t="s">
        <v>599</v>
      </c>
      <c r="B275" s="282"/>
      <c r="C275" s="206" t="s">
        <v>2</v>
      </c>
      <c r="D275" s="251"/>
      <c r="E275" s="206" t="s">
        <v>3</v>
      </c>
      <c r="H275" s="206"/>
      <c r="I275" s="206"/>
      <c r="J275" s="206"/>
      <c r="K275" s="231"/>
      <c r="L275" s="231"/>
      <c r="M275" s="231"/>
      <c r="N275" s="231"/>
      <c r="O275" s="231"/>
      <c r="P275" s="231"/>
      <c r="Q275" s="231"/>
    </row>
    <row r="276" spans="1:17" ht="15.6" customHeight="1" x14ac:dyDescent="0.3">
      <c r="A276" s="283">
        <v>40304081</v>
      </c>
      <c r="B276" s="284" t="s">
        <v>600</v>
      </c>
      <c r="C276" s="207">
        <v>4175.8599999999997</v>
      </c>
      <c r="D276" s="207"/>
      <c r="E276" s="207">
        <v>4141.1499999999996</v>
      </c>
      <c r="H276" s="206"/>
      <c r="I276" s="206">
        <v>1.5</v>
      </c>
      <c r="J276" s="206">
        <v>1.5</v>
      </c>
      <c r="K276" s="231"/>
      <c r="L276" s="231"/>
      <c r="M276" s="231"/>
      <c r="N276" s="231"/>
      <c r="O276" s="231"/>
      <c r="P276" s="231"/>
      <c r="Q276" s="231"/>
    </row>
    <row r="277" spans="1:17" ht="15.6" customHeight="1" x14ac:dyDescent="0.3">
      <c r="A277" s="280">
        <v>40304085</v>
      </c>
      <c r="B277" s="286" t="s">
        <v>601</v>
      </c>
      <c r="C277" s="247"/>
      <c r="E277" s="247"/>
      <c r="H277" s="206"/>
      <c r="I277" s="206"/>
      <c r="J277" s="206"/>
      <c r="K277" s="231"/>
      <c r="L277" s="231"/>
      <c r="M277" s="231"/>
      <c r="N277" s="231"/>
      <c r="O277" s="231"/>
      <c r="P277" s="231"/>
      <c r="Q277" s="231"/>
    </row>
    <row r="278" spans="1:17" ht="15.6" customHeight="1" x14ac:dyDescent="0.3">
      <c r="A278" s="280">
        <v>40307081</v>
      </c>
      <c r="B278" s="286" t="s">
        <v>602</v>
      </c>
      <c r="C278" s="255">
        <v>4175.8599999999997</v>
      </c>
      <c r="D278" s="255"/>
      <c r="E278" s="255">
        <v>4141.1499999999996</v>
      </c>
      <c r="I278" s="206">
        <v>1.5</v>
      </c>
      <c r="J278" s="206">
        <v>1.5</v>
      </c>
      <c r="K278" s="231"/>
      <c r="L278" s="231"/>
      <c r="M278" s="231"/>
      <c r="N278" s="231"/>
      <c r="O278" s="231"/>
      <c r="P278" s="231"/>
      <c r="Q278" s="231"/>
    </row>
    <row r="279" spans="1:17" ht="15.6" customHeight="1" x14ac:dyDescent="0.3">
      <c r="A279" s="281">
        <v>40307085</v>
      </c>
      <c r="B279" s="282" t="s">
        <v>603</v>
      </c>
      <c r="C279" s="206"/>
      <c r="D279" s="251"/>
      <c r="E279" s="206"/>
      <c r="F279" s="247"/>
      <c r="G279" s="247"/>
      <c r="H279" s="247"/>
      <c r="I279" s="206"/>
      <c r="J279" s="206"/>
      <c r="K279" s="231"/>
      <c r="L279" s="231"/>
      <c r="M279" s="231"/>
      <c r="N279" s="231"/>
      <c r="O279" s="231"/>
      <c r="P279" s="231"/>
      <c r="Q279" s="231"/>
    </row>
    <row r="280" spans="1:17" ht="15.6" customHeight="1" x14ac:dyDescent="0.3">
      <c r="A280" s="281"/>
      <c r="B280" s="282"/>
      <c r="C280" s="206"/>
      <c r="D280" s="251"/>
      <c r="E280" s="206"/>
      <c r="F280" s="247"/>
      <c r="G280" s="247"/>
      <c r="H280" s="247"/>
      <c r="I280" s="206"/>
      <c r="J280" s="206"/>
      <c r="K280" s="231"/>
      <c r="L280" s="231"/>
      <c r="M280" s="231"/>
      <c r="N280" s="231"/>
      <c r="O280" s="231"/>
      <c r="P280" s="231"/>
      <c r="Q280" s="231"/>
    </row>
    <row r="281" spans="1:17" ht="15.6" customHeight="1" x14ac:dyDescent="0.3">
      <c r="A281" s="281"/>
      <c r="B281" s="282"/>
      <c r="C281" s="206"/>
      <c r="D281" s="251"/>
      <c r="E281" s="206"/>
      <c r="H281" s="206"/>
      <c r="I281" s="206"/>
      <c r="J281" s="206"/>
      <c r="K281" s="231"/>
      <c r="L281" s="231"/>
      <c r="M281" s="231"/>
      <c r="N281" s="231"/>
      <c r="O281" s="231"/>
      <c r="P281" s="231"/>
      <c r="Q281" s="231"/>
    </row>
    <row r="282" spans="1:17" ht="15.6" customHeight="1" x14ac:dyDescent="0.3">
      <c r="A282" s="281"/>
      <c r="B282" s="282"/>
      <c r="C282" s="206"/>
      <c r="D282" s="251"/>
      <c r="E282" s="206"/>
      <c r="H282" s="206"/>
      <c r="I282" s="206"/>
      <c r="J282" s="206"/>
      <c r="K282" s="231"/>
      <c r="L282" s="231"/>
      <c r="M282" s="231"/>
      <c r="N282" s="231"/>
      <c r="O282" s="231"/>
      <c r="P282" s="231"/>
      <c r="Q282" s="231"/>
    </row>
    <row r="283" spans="1:17" ht="15.6" customHeight="1" x14ac:dyDescent="0.3">
      <c r="A283" s="281"/>
      <c r="B283" s="282"/>
      <c r="C283" s="206"/>
      <c r="D283" s="251"/>
      <c r="E283" s="206"/>
      <c r="H283" s="206"/>
      <c r="I283" s="206"/>
      <c r="J283" s="206"/>
      <c r="K283" s="231"/>
      <c r="L283" s="231"/>
      <c r="M283" s="231"/>
      <c r="N283" s="231"/>
      <c r="O283" s="231"/>
      <c r="P283" s="231"/>
      <c r="Q283" s="231"/>
    </row>
    <row r="284" spans="1:17" ht="15.6" customHeight="1" x14ac:dyDescent="0.3">
      <c r="A284" s="281"/>
      <c r="B284" s="282"/>
      <c r="C284" s="206"/>
      <c r="D284" s="251"/>
      <c r="E284" s="206"/>
      <c r="H284" s="206"/>
      <c r="I284" s="206"/>
      <c r="J284" s="206"/>
      <c r="K284" s="231"/>
      <c r="L284" s="231"/>
      <c r="M284" s="231"/>
      <c r="N284" s="231"/>
      <c r="O284" s="231"/>
      <c r="P284" s="231"/>
      <c r="Q284" s="231"/>
    </row>
    <row r="285" spans="1:17" ht="15.6" customHeight="1" x14ac:dyDescent="0.3">
      <c r="A285" s="281"/>
      <c r="B285" s="282"/>
      <c r="C285" s="206"/>
      <c r="D285" s="251"/>
      <c r="E285" s="206"/>
      <c r="H285" s="206"/>
      <c r="I285" s="206"/>
      <c r="J285" s="206"/>
      <c r="K285" s="231"/>
      <c r="L285" s="231"/>
      <c r="M285" s="231"/>
      <c r="N285" s="231"/>
      <c r="O285" s="231"/>
      <c r="P285" s="231"/>
      <c r="Q285" s="231"/>
    </row>
    <row r="286" spans="1:17" ht="15.6" customHeight="1" x14ac:dyDescent="0.3">
      <c r="A286" s="281"/>
      <c r="B286" s="282"/>
      <c r="C286" s="206"/>
      <c r="D286" s="251"/>
      <c r="E286" s="206"/>
      <c r="H286" s="206"/>
      <c r="I286" s="206"/>
      <c r="J286" s="206"/>
      <c r="K286" s="231"/>
      <c r="L286" s="231"/>
      <c r="M286" s="231"/>
      <c r="N286" s="231"/>
      <c r="O286" s="231"/>
      <c r="P286" s="231"/>
      <c r="Q286" s="231"/>
    </row>
    <row r="287" spans="1:17" ht="15.6" customHeight="1" x14ac:dyDescent="0.3">
      <c r="A287" s="281"/>
      <c r="B287" s="282"/>
      <c r="C287" s="206"/>
      <c r="D287" s="251"/>
      <c r="E287" s="206"/>
      <c r="H287" s="206"/>
      <c r="I287" s="206"/>
      <c r="J287" s="206"/>
      <c r="K287" s="231"/>
      <c r="L287" s="231"/>
      <c r="M287" s="231"/>
      <c r="N287" s="231"/>
      <c r="O287" s="231"/>
      <c r="P287" s="231"/>
      <c r="Q287" s="231"/>
    </row>
    <row r="288" spans="1:17" ht="15.6" customHeight="1" x14ac:dyDescent="0.3">
      <c r="A288" s="281"/>
      <c r="B288" s="282"/>
      <c r="C288" s="206"/>
      <c r="D288" s="251"/>
      <c r="E288" s="206"/>
      <c r="H288" s="206"/>
      <c r="I288" s="206"/>
      <c r="J288" s="206"/>
      <c r="K288" s="231"/>
      <c r="L288" s="231"/>
      <c r="M288" s="231"/>
      <c r="N288" s="231"/>
      <c r="O288" s="231"/>
      <c r="P288" s="231"/>
      <c r="Q288" s="231"/>
    </row>
    <row r="289" spans="1:17" ht="15.6" customHeight="1" x14ac:dyDescent="0.3">
      <c r="A289" s="281"/>
      <c r="B289" s="282"/>
      <c r="C289" s="206"/>
      <c r="D289" s="251"/>
      <c r="E289" s="206"/>
      <c r="H289" s="206"/>
      <c r="I289" s="206"/>
      <c r="J289" s="206"/>
      <c r="K289" s="231"/>
      <c r="L289" s="231"/>
      <c r="M289" s="231"/>
      <c r="N289" s="231"/>
      <c r="O289" s="231"/>
      <c r="P289" s="231"/>
      <c r="Q289" s="231"/>
    </row>
    <row r="290" spans="1:17" ht="15.6" customHeight="1" x14ac:dyDescent="0.3">
      <c r="A290" s="281"/>
      <c r="B290" s="282"/>
      <c r="C290" s="206"/>
      <c r="D290" s="251"/>
      <c r="E290" s="206"/>
      <c r="H290" s="206"/>
      <c r="I290" s="206"/>
      <c r="J290" s="206"/>
      <c r="K290" s="231"/>
      <c r="L290" s="231"/>
      <c r="M290" s="231"/>
      <c r="N290" s="231"/>
      <c r="O290" s="231"/>
      <c r="P290" s="231"/>
      <c r="Q290" s="231"/>
    </row>
    <row r="291" spans="1:17" ht="15.6" customHeight="1" x14ac:dyDescent="0.3">
      <c r="A291" s="281"/>
      <c r="B291" s="282"/>
      <c r="C291" s="206"/>
      <c r="D291" s="251"/>
      <c r="E291" s="206"/>
      <c r="H291" s="206"/>
      <c r="I291" s="206"/>
      <c r="J291" s="206"/>
      <c r="K291" s="231"/>
      <c r="L291" s="231"/>
      <c r="M291" s="231"/>
      <c r="N291" s="231"/>
      <c r="O291" s="231"/>
      <c r="P291" s="231"/>
      <c r="Q291" s="231"/>
    </row>
    <row r="292" spans="1:17" ht="15.6" customHeight="1" x14ac:dyDescent="0.3">
      <c r="A292" s="281"/>
      <c r="B292" s="282"/>
      <c r="C292" s="206"/>
      <c r="D292" s="251"/>
      <c r="E292" s="206"/>
      <c r="H292" s="206"/>
      <c r="I292" s="206"/>
      <c r="J292" s="206"/>
      <c r="K292" s="231"/>
      <c r="L292" s="231"/>
      <c r="M292" s="231"/>
      <c r="N292" s="231"/>
      <c r="O292" s="231"/>
      <c r="P292" s="231"/>
      <c r="Q292" s="231"/>
    </row>
    <row r="293" spans="1:17" ht="15.6" customHeight="1" x14ac:dyDescent="0.3">
      <c r="A293" s="281"/>
      <c r="B293" s="282"/>
      <c r="C293" s="206"/>
      <c r="D293" s="251"/>
      <c r="E293" s="206"/>
      <c r="H293" s="206"/>
      <c r="I293" s="206"/>
      <c r="J293" s="206"/>
      <c r="K293" s="231"/>
      <c r="L293" s="231"/>
      <c r="M293" s="231"/>
      <c r="N293" s="231"/>
      <c r="O293" s="231"/>
      <c r="P293" s="231"/>
      <c r="Q293" s="231"/>
    </row>
    <row r="294" spans="1:17" ht="15.6" customHeight="1" x14ac:dyDescent="0.3">
      <c r="A294" s="283"/>
      <c r="B294" s="287"/>
      <c r="C294" s="207"/>
      <c r="E294" s="207"/>
      <c r="H294" s="206"/>
      <c r="I294" s="206"/>
      <c r="J294" s="206"/>
      <c r="K294" s="231"/>
      <c r="L294" s="231"/>
      <c r="M294" s="231"/>
      <c r="N294" s="231"/>
      <c r="O294" s="231"/>
      <c r="P294" s="231"/>
      <c r="Q294" s="231"/>
    </row>
    <row r="295" spans="1:17" ht="15.6" customHeight="1" x14ac:dyDescent="0.3">
      <c r="A295" s="210"/>
      <c r="B295" s="254"/>
      <c r="C295" s="13"/>
      <c r="D295" s="235"/>
      <c r="E295" s="13"/>
      <c r="F295" s="235"/>
      <c r="H295" s="206"/>
      <c r="I295" s="206"/>
      <c r="J295" s="206"/>
      <c r="K295" s="231"/>
      <c r="L295" s="231"/>
      <c r="M295" s="231"/>
      <c r="N295" s="231"/>
      <c r="O295" s="231"/>
      <c r="P295" s="231"/>
      <c r="Q295" s="231"/>
    </row>
    <row r="296" spans="1:17" ht="15.6" customHeight="1" x14ac:dyDescent="0.3">
      <c r="A296" s="210"/>
      <c r="B296" s="254"/>
      <c r="C296" s="237"/>
      <c r="D296" s="237"/>
      <c r="E296" s="237"/>
      <c r="F296" s="237"/>
      <c r="I296" s="206"/>
      <c r="J296" s="206"/>
      <c r="K296" s="231"/>
      <c r="L296" s="231"/>
      <c r="M296" s="231"/>
      <c r="N296" s="231"/>
      <c r="O296" s="231"/>
      <c r="P296" s="231"/>
      <c r="Q296" s="231"/>
    </row>
    <row r="297" spans="1:17" ht="15.6" customHeight="1" x14ac:dyDescent="0.3">
      <c r="A297" s="238"/>
      <c r="B297" s="240"/>
      <c r="C297" s="206"/>
      <c r="D297" s="206"/>
      <c r="E297" s="206"/>
      <c r="F297" s="206"/>
      <c r="G297" s="235"/>
      <c r="H297" s="235"/>
      <c r="I297" s="206"/>
      <c r="J297" s="206"/>
      <c r="K297" s="231"/>
      <c r="L297" s="231"/>
      <c r="M297" s="231"/>
      <c r="N297" s="231"/>
      <c r="O297" s="231"/>
      <c r="P297" s="231"/>
      <c r="Q297" s="231"/>
    </row>
    <row r="298" spans="1:17" ht="15.6" customHeight="1" x14ac:dyDescent="0.3">
      <c r="A298" s="238"/>
      <c r="B298" s="240"/>
      <c r="C298" s="206"/>
      <c r="D298" s="206"/>
      <c r="E298" s="206"/>
      <c r="F298" s="206"/>
      <c r="G298" s="228"/>
      <c r="H298" s="228"/>
      <c r="I298" s="206"/>
      <c r="J298" s="206"/>
      <c r="K298" s="231"/>
      <c r="L298" s="231"/>
      <c r="M298" s="231"/>
      <c r="N298" s="231"/>
      <c r="O298" s="231"/>
      <c r="P298" s="231"/>
      <c r="Q298" s="231"/>
    </row>
    <row r="299" spans="1:17" ht="15.6" customHeight="1" x14ac:dyDescent="0.3">
      <c r="A299" s="208"/>
      <c r="B299" s="214"/>
      <c r="C299" s="207"/>
      <c r="E299" s="207"/>
      <c r="G299" s="207"/>
      <c r="H299" s="206"/>
      <c r="I299" s="206"/>
      <c r="J299" s="206"/>
      <c r="K299" s="231"/>
      <c r="L299" s="231"/>
      <c r="M299" s="231"/>
      <c r="N299" s="231"/>
      <c r="O299" s="231"/>
      <c r="P299" s="231"/>
      <c r="Q299" s="231"/>
    </row>
    <row r="300" spans="1:17" ht="15.6" customHeight="1" x14ac:dyDescent="0.3">
      <c r="A300" s="210"/>
      <c r="B300" s="254"/>
      <c r="C300" s="255"/>
      <c r="D300" s="255"/>
      <c r="E300" s="255"/>
      <c r="G300" s="207"/>
      <c r="H300" s="206"/>
      <c r="I300" s="206"/>
      <c r="J300" s="206"/>
      <c r="K300" s="231"/>
      <c r="L300" s="231"/>
      <c r="M300" s="231"/>
      <c r="N300" s="231"/>
      <c r="O300" s="231"/>
      <c r="P300" s="231"/>
      <c r="Q300" s="231"/>
    </row>
    <row r="301" spans="1:17" ht="15.6" customHeight="1" x14ac:dyDescent="0.3">
      <c r="A301" s="238"/>
      <c r="B301" s="240"/>
      <c r="C301" s="206"/>
      <c r="D301" s="251"/>
      <c r="E301" s="206"/>
      <c r="F301" s="207"/>
      <c r="G301" s="207"/>
      <c r="H301" s="207"/>
      <c r="I301" s="206"/>
      <c r="J301" s="206"/>
      <c r="K301" s="231"/>
      <c r="L301" s="231"/>
      <c r="M301" s="231"/>
      <c r="N301" s="231"/>
      <c r="O301" s="231"/>
      <c r="P301" s="231"/>
      <c r="Q301" s="231"/>
    </row>
    <row r="302" spans="1:17" ht="15.6" customHeight="1" x14ac:dyDescent="0.3">
      <c r="A302" s="238"/>
      <c r="B302" s="240"/>
      <c r="C302" s="206"/>
      <c r="D302" s="251"/>
      <c r="E302" s="206"/>
      <c r="F302" s="207"/>
      <c r="G302" s="207"/>
      <c r="H302" s="207"/>
      <c r="I302" s="206"/>
      <c r="J302" s="206"/>
      <c r="K302" s="231"/>
      <c r="L302" s="231"/>
      <c r="M302" s="231"/>
      <c r="N302" s="231"/>
      <c r="O302" s="231"/>
      <c r="P302" s="231"/>
      <c r="Q302" s="231"/>
    </row>
    <row r="303" spans="1:17" ht="15.6" customHeight="1" x14ac:dyDescent="0.3">
      <c r="A303" s="238"/>
      <c r="B303" s="240"/>
      <c r="C303" s="206"/>
      <c r="D303" s="251"/>
      <c r="E303" s="206"/>
      <c r="H303" s="206"/>
      <c r="I303" s="206"/>
      <c r="J303" s="206"/>
      <c r="K303" s="231"/>
      <c r="L303" s="231"/>
      <c r="M303" s="231"/>
      <c r="N303" s="231"/>
      <c r="O303" s="231"/>
      <c r="P303" s="231"/>
      <c r="Q303" s="231"/>
    </row>
    <row r="304" spans="1:17" ht="15.6" customHeight="1" x14ac:dyDescent="0.3">
      <c r="A304" s="238"/>
      <c r="B304" s="240"/>
      <c r="C304" s="206"/>
      <c r="D304" s="251"/>
      <c r="E304" s="206"/>
      <c r="H304" s="206"/>
      <c r="I304" s="206"/>
      <c r="J304" s="206"/>
      <c r="K304" s="231"/>
      <c r="L304" s="231"/>
      <c r="M304" s="231"/>
      <c r="N304" s="231"/>
      <c r="O304" s="231"/>
      <c r="P304" s="231"/>
      <c r="Q304" s="231"/>
    </row>
    <row r="305" spans="1:17" ht="15.6" customHeight="1" x14ac:dyDescent="0.3">
      <c r="A305" s="238"/>
      <c r="B305" s="240"/>
      <c r="C305" s="206"/>
      <c r="D305" s="251"/>
      <c r="E305" s="206"/>
      <c r="H305" s="206"/>
      <c r="I305" s="206"/>
      <c r="J305" s="206"/>
      <c r="K305" s="231"/>
      <c r="L305" s="231"/>
      <c r="M305" s="231"/>
      <c r="N305" s="231"/>
      <c r="O305" s="231"/>
      <c r="P305" s="231"/>
      <c r="Q305" s="231"/>
    </row>
    <row r="306" spans="1:17" ht="15.6" customHeight="1" x14ac:dyDescent="0.3">
      <c r="A306" s="238"/>
      <c r="B306" s="240"/>
      <c r="C306" s="206"/>
      <c r="D306" s="251"/>
      <c r="E306" s="206"/>
      <c r="H306" s="206"/>
      <c r="I306" s="206"/>
      <c r="J306" s="206"/>
      <c r="K306" s="231"/>
      <c r="L306" s="231"/>
      <c r="M306" s="231"/>
      <c r="N306" s="231"/>
      <c r="O306" s="231"/>
      <c r="P306" s="231"/>
      <c r="Q306" s="231"/>
    </row>
    <row r="307" spans="1:17" ht="15.6" customHeight="1" x14ac:dyDescent="0.3">
      <c r="A307" s="238"/>
      <c r="B307" s="240"/>
      <c r="C307" s="206"/>
      <c r="D307" s="251"/>
      <c r="E307" s="206"/>
      <c r="H307" s="206"/>
      <c r="I307" s="206"/>
      <c r="J307" s="206"/>
      <c r="K307" s="231"/>
      <c r="L307" s="231"/>
      <c r="M307" s="231"/>
      <c r="N307" s="231"/>
      <c r="O307" s="231"/>
      <c r="P307" s="231"/>
      <c r="Q307" s="231"/>
    </row>
    <row r="308" spans="1:17" ht="15.6" customHeight="1" x14ac:dyDescent="0.3">
      <c r="A308" s="208"/>
      <c r="B308" s="214"/>
      <c r="C308" s="207"/>
      <c r="D308" s="207"/>
      <c r="E308" s="207"/>
      <c r="H308" s="206"/>
      <c r="I308" s="206"/>
      <c r="J308" s="206"/>
      <c r="K308" s="231"/>
      <c r="L308" s="231"/>
      <c r="M308" s="231"/>
      <c r="N308" s="231"/>
      <c r="O308" s="231"/>
      <c r="P308" s="231"/>
      <c r="Q308" s="231"/>
    </row>
    <row r="309" spans="1:17" ht="15.6" customHeight="1" x14ac:dyDescent="0.3">
      <c r="A309" s="210"/>
      <c r="B309" s="214"/>
      <c r="C309" s="245"/>
      <c r="H309" s="206"/>
      <c r="I309" s="206"/>
      <c r="J309" s="206"/>
      <c r="K309" s="231"/>
      <c r="L309" s="231"/>
      <c r="M309" s="231"/>
      <c r="N309" s="231"/>
      <c r="O309" s="231"/>
      <c r="P309" s="231"/>
      <c r="Q309" s="231"/>
    </row>
    <row r="310" spans="1:17" ht="15.6" customHeight="1" x14ac:dyDescent="0.3">
      <c r="A310" s="238"/>
      <c r="B310" s="268"/>
      <c r="C310" s="206"/>
      <c r="D310" s="207"/>
      <c r="I310" s="206"/>
      <c r="J310" s="206"/>
      <c r="K310" s="231"/>
      <c r="L310" s="231"/>
      <c r="M310" s="231"/>
      <c r="N310" s="231"/>
      <c r="O310" s="231"/>
      <c r="P310" s="231"/>
      <c r="Q310" s="231"/>
    </row>
    <row r="311" spans="1:17" ht="15.6" customHeight="1" x14ac:dyDescent="0.3">
      <c r="A311" s="238"/>
      <c r="B311" s="268"/>
      <c r="C311" s="206"/>
      <c r="D311" s="207"/>
      <c r="I311" s="206"/>
      <c r="J311" s="206"/>
      <c r="K311" s="231"/>
      <c r="L311" s="231"/>
      <c r="M311" s="231"/>
      <c r="N311" s="231"/>
      <c r="O311" s="231"/>
      <c r="P311" s="231"/>
      <c r="Q311" s="231"/>
    </row>
    <row r="312" spans="1:17" ht="15.6" customHeight="1" x14ac:dyDescent="0.3">
      <c r="A312" s="238"/>
      <c r="B312" s="268"/>
      <c r="C312" s="206"/>
      <c r="D312" s="207"/>
      <c r="H312" s="206"/>
      <c r="I312" s="206"/>
      <c r="J312" s="206"/>
      <c r="K312" s="231"/>
      <c r="L312" s="231"/>
      <c r="M312" s="231"/>
      <c r="N312" s="231"/>
      <c r="O312" s="231"/>
      <c r="P312" s="231"/>
      <c r="Q312" s="231"/>
    </row>
    <row r="313" spans="1:17" ht="15.6" customHeight="1" x14ac:dyDescent="0.3">
      <c r="A313" s="208"/>
      <c r="B313" s="214"/>
      <c r="C313" s="207"/>
      <c r="D313" s="207"/>
      <c r="E313" s="207"/>
      <c r="H313" s="206"/>
      <c r="I313" s="206"/>
      <c r="J313" s="206"/>
      <c r="K313" s="231"/>
      <c r="L313" s="231"/>
      <c r="M313" s="231"/>
      <c r="N313" s="231"/>
      <c r="O313" s="231"/>
      <c r="P313" s="231"/>
      <c r="Q313" s="231"/>
    </row>
    <row r="314" spans="1:17" ht="15.6" customHeight="1" x14ac:dyDescent="0.3">
      <c r="A314" s="210"/>
      <c r="B314" s="214"/>
      <c r="C314" s="13"/>
      <c r="D314" s="235"/>
      <c r="E314" s="13"/>
      <c r="F314" s="235"/>
      <c r="H314" s="206"/>
      <c r="I314" s="206"/>
      <c r="J314" s="206"/>
      <c r="K314" s="231"/>
      <c r="L314" s="231"/>
      <c r="M314" s="231"/>
      <c r="N314" s="231"/>
      <c r="O314" s="231"/>
      <c r="P314" s="231"/>
      <c r="Q314" s="231"/>
    </row>
    <row r="315" spans="1:17" ht="15.6" customHeight="1" x14ac:dyDescent="0.3">
      <c r="A315" s="210"/>
      <c r="B315" s="214"/>
      <c r="C315" s="237"/>
      <c r="D315" s="237"/>
      <c r="E315" s="237"/>
      <c r="F315" s="237"/>
      <c r="I315" s="206"/>
      <c r="J315" s="206"/>
      <c r="K315" s="231"/>
      <c r="L315" s="231"/>
      <c r="M315" s="231"/>
      <c r="N315" s="231"/>
      <c r="O315" s="231"/>
      <c r="P315" s="231"/>
      <c r="Q315" s="231"/>
    </row>
    <row r="316" spans="1:17" ht="15.6" customHeight="1" x14ac:dyDescent="0.3">
      <c r="A316" s="238"/>
      <c r="B316" s="240"/>
      <c r="C316" s="206"/>
      <c r="D316" s="206"/>
      <c r="E316" s="206"/>
      <c r="F316" s="206"/>
      <c r="G316" s="235"/>
      <c r="H316" s="235"/>
      <c r="I316" s="206"/>
      <c r="J316" s="206"/>
      <c r="K316" s="231"/>
      <c r="L316" s="231"/>
      <c r="M316" s="231"/>
      <c r="N316" s="231"/>
      <c r="O316" s="231"/>
      <c r="P316" s="231"/>
      <c r="Q316" s="231"/>
    </row>
    <row r="317" spans="1:17" ht="15.6" customHeight="1" x14ac:dyDescent="0.3">
      <c r="A317" s="238"/>
      <c r="B317" s="240"/>
      <c r="C317" s="206"/>
      <c r="D317" s="206"/>
      <c r="E317" s="206"/>
      <c r="F317" s="206"/>
      <c r="G317" s="228"/>
      <c r="H317" s="228"/>
      <c r="I317" s="206"/>
      <c r="J317" s="206"/>
      <c r="K317" s="231"/>
      <c r="L317" s="231"/>
      <c r="M317" s="231"/>
      <c r="N317" s="231"/>
      <c r="O317" s="231"/>
      <c r="P317" s="231"/>
      <c r="Q317" s="231"/>
    </row>
    <row r="318" spans="1:17" ht="15.6" customHeight="1" x14ac:dyDescent="0.3">
      <c r="A318" s="238"/>
      <c r="B318" s="240"/>
      <c r="C318" s="206"/>
      <c r="D318" s="206"/>
      <c r="E318" s="206"/>
      <c r="F318" s="206"/>
      <c r="G318" s="207"/>
      <c r="H318" s="206"/>
      <c r="I318" s="206"/>
      <c r="J318" s="206"/>
      <c r="K318" s="231"/>
      <c r="L318" s="231"/>
      <c r="M318" s="231"/>
      <c r="N318" s="231"/>
      <c r="O318" s="231"/>
      <c r="P318" s="231"/>
      <c r="Q318" s="231"/>
    </row>
    <row r="319" spans="1:17" ht="15.6" customHeight="1" x14ac:dyDescent="0.3">
      <c r="A319" s="238"/>
      <c r="B319" s="240"/>
      <c r="C319" s="206"/>
      <c r="D319" s="206"/>
      <c r="E319" s="206"/>
      <c r="F319" s="206"/>
      <c r="G319" s="207"/>
      <c r="H319" s="206"/>
      <c r="I319" s="206"/>
      <c r="J319" s="206"/>
      <c r="K319" s="231"/>
      <c r="L319" s="231"/>
      <c r="M319" s="231"/>
      <c r="N319" s="231"/>
      <c r="O319" s="231"/>
      <c r="P319" s="231"/>
      <c r="Q319" s="231"/>
    </row>
    <row r="320" spans="1:17" ht="15.6" customHeight="1" x14ac:dyDescent="0.3">
      <c r="A320" s="208"/>
      <c r="B320" s="214"/>
      <c r="C320" s="207"/>
      <c r="D320" s="207"/>
      <c r="E320" s="207"/>
      <c r="F320" s="207"/>
      <c r="G320" s="207"/>
      <c r="H320" s="206"/>
      <c r="I320" s="206"/>
      <c r="J320" s="206"/>
      <c r="K320" s="231"/>
      <c r="L320" s="231"/>
      <c r="M320" s="231"/>
      <c r="N320" s="231"/>
      <c r="O320" s="231"/>
      <c r="P320" s="231"/>
      <c r="Q320" s="231"/>
    </row>
    <row r="321" spans="1:17" ht="15.6" customHeight="1" x14ac:dyDescent="0.3">
      <c r="A321" s="210"/>
      <c r="B321" s="214"/>
      <c r="C321" s="269"/>
      <c r="D321" s="270"/>
      <c r="E321" s="207"/>
      <c r="F321" s="207"/>
      <c r="G321" s="207"/>
      <c r="H321" s="206"/>
      <c r="I321" s="206"/>
      <c r="J321" s="206"/>
      <c r="K321" s="231"/>
      <c r="L321" s="231"/>
      <c r="M321" s="231"/>
      <c r="N321" s="231"/>
      <c r="O321" s="231"/>
      <c r="P321" s="231"/>
      <c r="Q321" s="231"/>
    </row>
    <row r="322" spans="1:17" ht="15.6" customHeight="1" x14ac:dyDescent="0.3">
      <c r="A322" s="238"/>
      <c r="B322" s="268"/>
      <c r="C322" s="206"/>
      <c r="D322" s="206"/>
      <c r="E322" s="207"/>
      <c r="F322" s="207"/>
      <c r="G322" s="207"/>
      <c r="H322" s="207"/>
      <c r="I322" s="206"/>
      <c r="J322" s="206"/>
      <c r="K322" s="231"/>
      <c r="L322" s="231"/>
      <c r="M322" s="231"/>
      <c r="N322" s="231"/>
      <c r="O322" s="231"/>
      <c r="P322" s="231"/>
      <c r="Q322" s="231"/>
    </row>
    <row r="323" spans="1:17" ht="15.6" customHeight="1" x14ac:dyDescent="0.3">
      <c r="A323" s="208"/>
      <c r="B323" s="271"/>
      <c r="C323" s="207"/>
      <c r="D323" s="207"/>
      <c r="E323" s="207"/>
      <c r="F323" s="207"/>
      <c r="G323" s="207"/>
      <c r="H323" s="206"/>
      <c r="I323" s="206"/>
      <c r="J323" s="206"/>
      <c r="K323" s="231"/>
      <c r="L323" s="231"/>
      <c r="M323" s="231"/>
      <c r="N323" s="231"/>
      <c r="O323" s="231"/>
      <c r="P323" s="231"/>
      <c r="Q323" s="231"/>
    </row>
    <row r="324" spans="1:17" ht="15.6" customHeight="1" x14ac:dyDescent="0.3">
      <c r="A324" s="210"/>
      <c r="B324" s="271"/>
      <c r="C324" s="13"/>
      <c r="D324" s="235"/>
      <c r="E324" s="13"/>
      <c r="F324" s="235"/>
      <c r="G324" s="207"/>
      <c r="H324" s="207"/>
      <c r="I324" s="206"/>
      <c r="J324" s="206"/>
      <c r="K324" s="231"/>
      <c r="L324" s="231"/>
      <c r="M324" s="231"/>
      <c r="N324" s="231"/>
      <c r="O324" s="231"/>
      <c r="P324" s="231"/>
      <c r="Q324" s="231"/>
    </row>
    <row r="325" spans="1:17" ht="15.6" customHeight="1" x14ac:dyDescent="0.3">
      <c r="A325" s="210"/>
      <c r="B325" s="271"/>
      <c r="C325" s="237"/>
      <c r="D325" s="237"/>
      <c r="E325" s="237"/>
      <c r="F325" s="237"/>
      <c r="G325" s="207"/>
      <c r="H325" s="207"/>
      <c r="I325" s="206"/>
      <c r="J325" s="206"/>
      <c r="K325" s="231"/>
      <c r="L325" s="231"/>
      <c r="M325" s="231"/>
      <c r="N325" s="231"/>
      <c r="O325" s="231"/>
      <c r="P325" s="231"/>
      <c r="Q325" s="231"/>
    </row>
    <row r="326" spans="1:17" ht="15.6" customHeight="1" x14ac:dyDescent="0.3">
      <c r="A326" s="238"/>
      <c r="B326" s="240"/>
      <c r="C326" s="206"/>
      <c r="D326" s="206"/>
      <c r="E326" s="206"/>
      <c r="F326" s="206"/>
      <c r="G326" s="235"/>
      <c r="H326" s="235"/>
      <c r="I326" s="206"/>
      <c r="J326" s="206"/>
      <c r="K326" s="231"/>
      <c r="L326" s="231"/>
      <c r="M326" s="231"/>
      <c r="N326" s="231"/>
      <c r="O326" s="231"/>
      <c r="P326" s="231"/>
      <c r="Q326" s="231"/>
    </row>
    <row r="327" spans="1:17" ht="15.6" customHeight="1" x14ac:dyDescent="0.3">
      <c r="A327" s="238"/>
      <c r="B327" s="240"/>
      <c r="C327" s="206"/>
      <c r="D327" s="206"/>
      <c r="E327" s="206"/>
      <c r="F327" s="206"/>
      <c r="G327" s="228"/>
      <c r="H327" s="228"/>
      <c r="I327" s="206"/>
      <c r="J327" s="206"/>
      <c r="K327" s="231"/>
      <c r="L327" s="231"/>
      <c r="M327" s="231"/>
      <c r="N327" s="231"/>
      <c r="O327" s="231"/>
      <c r="P327" s="231"/>
      <c r="Q327" s="231"/>
    </row>
    <row r="328" spans="1:17" ht="15.6" customHeight="1" x14ac:dyDescent="0.3">
      <c r="A328" s="238"/>
      <c r="B328" s="240"/>
      <c r="C328" s="206"/>
      <c r="D328" s="206"/>
      <c r="E328" s="206"/>
      <c r="F328" s="242"/>
      <c r="G328" s="207"/>
      <c r="H328" s="206"/>
      <c r="I328" s="206"/>
      <c r="J328" s="206"/>
      <c r="K328" s="231"/>
      <c r="L328" s="231"/>
      <c r="M328" s="231"/>
      <c r="N328" s="231"/>
      <c r="O328" s="231"/>
      <c r="P328" s="231"/>
      <c r="Q328" s="231"/>
    </row>
    <row r="329" spans="1:17" ht="15.6" customHeight="1" x14ac:dyDescent="0.3">
      <c r="A329" s="238"/>
      <c r="B329" s="240"/>
      <c r="C329" s="206"/>
      <c r="D329" s="206"/>
      <c r="E329" s="206"/>
      <c r="F329" s="206"/>
      <c r="G329" s="207"/>
      <c r="H329" s="206"/>
      <c r="I329" s="206"/>
      <c r="J329" s="206"/>
      <c r="K329" s="231"/>
      <c r="L329" s="231"/>
      <c r="M329" s="231"/>
      <c r="N329" s="231"/>
      <c r="O329" s="231"/>
      <c r="P329" s="231"/>
      <c r="Q329" s="231"/>
    </row>
    <row r="330" spans="1:17" ht="15.6" customHeight="1" x14ac:dyDescent="0.3">
      <c r="A330" s="238"/>
      <c r="B330" s="240"/>
      <c r="C330" s="206"/>
      <c r="D330" s="206"/>
      <c r="E330" s="272"/>
      <c r="F330" s="241"/>
      <c r="H330" s="206"/>
      <c r="I330" s="206"/>
      <c r="J330" s="206"/>
      <c r="K330" s="231"/>
      <c r="L330" s="231"/>
      <c r="M330" s="231"/>
      <c r="N330" s="231"/>
      <c r="O330" s="231"/>
      <c r="P330" s="231"/>
      <c r="Q330" s="231"/>
    </row>
    <row r="331" spans="1:17" ht="15.6" customHeight="1" x14ac:dyDescent="0.3">
      <c r="A331" s="238"/>
      <c r="B331" s="240"/>
      <c r="C331" s="206"/>
      <c r="D331" s="206"/>
      <c r="E331" s="272"/>
      <c r="F331" s="241"/>
      <c r="H331" s="206"/>
      <c r="I331" s="206"/>
      <c r="J331" s="206"/>
      <c r="K331" s="231"/>
      <c r="L331" s="231"/>
      <c r="M331" s="231"/>
      <c r="N331" s="231"/>
      <c r="O331" s="231"/>
      <c r="P331" s="231"/>
      <c r="Q331" s="231"/>
    </row>
    <row r="332" spans="1:17" ht="15.6" customHeight="1" x14ac:dyDescent="0.3">
      <c r="A332" s="208"/>
      <c r="B332" s="214"/>
      <c r="C332" s="207"/>
      <c r="E332" s="207"/>
      <c r="H332" s="206"/>
      <c r="I332" s="206"/>
      <c r="J332" s="206"/>
      <c r="K332" s="231"/>
      <c r="L332" s="231"/>
      <c r="M332" s="231"/>
      <c r="N332" s="231"/>
      <c r="O332" s="231"/>
      <c r="P332" s="231"/>
      <c r="Q332" s="231"/>
    </row>
    <row r="333" spans="1:17" ht="15.6" customHeight="1" x14ac:dyDescent="0.3">
      <c r="A333" s="210"/>
      <c r="B333" s="214"/>
      <c r="C333" s="269"/>
      <c r="D333" s="270"/>
      <c r="E333" s="207"/>
      <c r="H333" s="206"/>
      <c r="I333" s="206"/>
      <c r="J333" s="206"/>
      <c r="K333" s="231"/>
      <c r="L333" s="231"/>
      <c r="M333" s="231"/>
      <c r="N333" s="231"/>
      <c r="O333" s="231"/>
      <c r="P333" s="231"/>
      <c r="Q333" s="231"/>
    </row>
    <row r="334" spans="1:17" ht="15.6" customHeight="1" x14ac:dyDescent="0.3">
      <c r="A334" s="238"/>
      <c r="B334" s="268"/>
      <c r="C334" s="206"/>
      <c r="D334" s="206"/>
      <c r="E334" s="207"/>
      <c r="I334" s="206"/>
      <c r="J334" s="206"/>
      <c r="K334" s="231"/>
      <c r="L334" s="231"/>
      <c r="M334" s="231"/>
      <c r="N334" s="231"/>
      <c r="O334" s="231"/>
      <c r="P334" s="231"/>
      <c r="Q334" s="231"/>
    </row>
    <row r="335" spans="1:17" ht="15.6" customHeight="1" x14ac:dyDescent="0.3">
      <c r="A335" s="208"/>
      <c r="B335" s="214"/>
      <c r="C335" s="207"/>
      <c r="D335" s="207"/>
      <c r="E335" s="207"/>
      <c r="I335" s="206"/>
      <c r="J335" s="206"/>
      <c r="K335" s="231"/>
      <c r="L335" s="231"/>
      <c r="M335" s="231"/>
      <c r="N335" s="231"/>
      <c r="O335" s="231"/>
      <c r="P335" s="231"/>
      <c r="Q335" s="231"/>
    </row>
    <row r="336" spans="1:17" ht="15.6" customHeight="1" x14ac:dyDescent="0.3">
      <c r="A336" s="210"/>
      <c r="B336" s="214"/>
      <c r="C336" s="258"/>
      <c r="D336" s="207"/>
      <c r="E336" s="207"/>
      <c r="H336" s="206"/>
      <c r="I336" s="206"/>
      <c r="J336" s="206"/>
      <c r="K336" s="231"/>
      <c r="L336" s="231"/>
      <c r="M336" s="231"/>
      <c r="N336" s="231"/>
      <c r="O336" s="231"/>
      <c r="P336" s="231"/>
      <c r="Q336" s="231"/>
    </row>
    <row r="337" spans="1:17" ht="15.6" customHeight="1" x14ac:dyDescent="0.3">
      <c r="A337" s="208"/>
      <c r="B337" s="268"/>
      <c r="C337" s="206"/>
      <c r="D337" s="207"/>
      <c r="E337" s="207"/>
      <c r="I337" s="206"/>
      <c r="J337" s="206"/>
      <c r="K337" s="231"/>
      <c r="L337" s="231"/>
      <c r="M337" s="231"/>
      <c r="N337" s="231"/>
      <c r="O337" s="231"/>
      <c r="P337" s="231"/>
      <c r="Q337" s="231"/>
    </row>
    <row r="338" spans="1:17" ht="15.6" customHeight="1" x14ac:dyDescent="0.3">
      <c r="A338" s="208"/>
      <c r="B338" s="214"/>
      <c r="C338" s="207"/>
      <c r="D338" s="207"/>
      <c r="E338" s="207"/>
      <c r="I338" s="206"/>
      <c r="J338" s="206"/>
      <c r="K338" s="231"/>
      <c r="L338" s="231"/>
      <c r="M338" s="231"/>
      <c r="N338" s="231"/>
      <c r="O338" s="231"/>
      <c r="P338" s="231"/>
      <c r="Q338" s="231"/>
    </row>
    <row r="339" spans="1:17" ht="15.6" customHeight="1" x14ac:dyDescent="0.3">
      <c r="A339" s="210"/>
      <c r="B339" s="254"/>
      <c r="C339" s="13"/>
      <c r="D339" s="235"/>
      <c r="E339" s="13"/>
      <c r="F339" s="235"/>
      <c r="I339" s="206"/>
      <c r="J339" s="206"/>
      <c r="K339" s="231"/>
      <c r="L339" s="231"/>
      <c r="M339" s="231"/>
      <c r="N339" s="231"/>
      <c r="O339" s="231"/>
      <c r="P339" s="231"/>
      <c r="Q339" s="231"/>
    </row>
    <row r="340" spans="1:17" ht="15.6" customHeight="1" x14ac:dyDescent="0.3">
      <c r="A340" s="210"/>
      <c r="B340" s="254"/>
      <c r="C340" s="237"/>
      <c r="D340" s="237"/>
      <c r="E340" s="237"/>
      <c r="F340" s="237"/>
      <c r="I340" s="206"/>
      <c r="J340" s="206"/>
      <c r="K340" s="231"/>
      <c r="L340" s="231"/>
      <c r="M340" s="231"/>
      <c r="N340" s="231"/>
      <c r="O340" s="231"/>
      <c r="P340" s="231"/>
      <c r="Q340" s="231"/>
    </row>
    <row r="341" spans="1:17" ht="15.6" customHeight="1" x14ac:dyDescent="0.3">
      <c r="A341" s="238"/>
      <c r="B341" s="240"/>
      <c r="C341" s="206"/>
      <c r="D341" s="206"/>
      <c r="E341" s="206"/>
      <c r="F341" s="206"/>
      <c r="G341" s="235"/>
      <c r="H341" s="235"/>
      <c r="I341" s="206"/>
      <c r="J341" s="206"/>
      <c r="K341" s="231"/>
      <c r="L341" s="231"/>
      <c r="M341" s="231"/>
      <c r="N341" s="231"/>
      <c r="O341" s="231"/>
      <c r="P341" s="231"/>
      <c r="Q341" s="231"/>
    </row>
    <row r="342" spans="1:17" ht="15.6" customHeight="1" x14ac:dyDescent="0.3">
      <c r="A342" s="238"/>
      <c r="B342" s="240"/>
      <c r="C342" s="206"/>
      <c r="D342" s="272"/>
      <c r="E342" s="206"/>
      <c r="F342" s="241"/>
      <c r="H342" s="206"/>
      <c r="I342" s="206"/>
      <c r="J342" s="206"/>
      <c r="K342" s="231"/>
      <c r="L342" s="231"/>
      <c r="M342" s="231"/>
      <c r="N342" s="231"/>
      <c r="O342" s="231"/>
      <c r="P342" s="231"/>
      <c r="Q342" s="231"/>
    </row>
    <row r="343" spans="1:17" ht="15.6" customHeight="1" x14ac:dyDescent="0.3">
      <c r="A343" s="238"/>
      <c r="B343" s="240"/>
      <c r="C343" s="206"/>
      <c r="D343" s="272"/>
      <c r="E343" s="206"/>
      <c r="F343" s="241"/>
      <c r="H343" s="206"/>
      <c r="I343" s="206"/>
      <c r="J343" s="206"/>
      <c r="K343" s="231"/>
      <c r="L343" s="231"/>
      <c r="M343" s="231"/>
      <c r="N343" s="231"/>
      <c r="O343" s="231"/>
      <c r="P343" s="231"/>
      <c r="Q343" s="231"/>
    </row>
    <row r="344" spans="1:17" ht="15.6" customHeight="1" x14ac:dyDescent="0.3">
      <c r="A344" s="238"/>
      <c r="B344" s="240"/>
      <c r="C344" s="206"/>
      <c r="D344" s="272"/>
      <c r="E344" s="206"/>
      <c r="F344" s="249"/>
      <c r="H344" s="206"/>
      <c r="I344" s="206"/>
      <c r="J344" s="206"/>
      <c r="K344" s="231"/>
      <c r="L344" s="231"/>
      <c r="M344" s="231"/>
      <c r="N344" s="231"/>
      <c r="O344" s="231"/>
      <c r="P344" s="231"/>
      <c r="Q344" s="231"/>
    </row>
    <row r="345" spans="1:17" ht="15.6" customHeight="1" x14ac:dyDescent="0.3">
      <c r="A345" s="208"/>
      <c r="B345" s="214"/>
      <c r="C345" s="207"/>
      <c r="D345" s="207"/>
      <c r="E345" s="207"/>
      <c r="H345" s="206"/>
      <c r="I345" s="206"/>
      <c r="J345" s="206"/>
      <c r="K345" s="231"/>
      <c r="L345" s="231"/>
      <c r="M345" s="231"/>
      <c r="N345" s="231"/>
      <c r="O345" s="231"/>
      <c r="P345" s="231"/>
      <c r="Q345" s="231"/>
    </row>
    <row r="346" spans="1:17" ht="15.6" customHeight="1" x14ac:dyDescent="0.3">
      <c r="A346" s="273"/>
      <c r="B346" s="214"/>
      <c r="C346" s="269"/>
      <c r="D346" s="270"/>
      <c r="H346" s="206"/>
      <c r="I346" s="206"/>
      <c r="J346" s="206"/>
      <c r="K346" s="231"/>
      <c r="L346" s="231"/>
      <c r="M346" s="231"/>
      <c r="N346" s="231"/>
      <c r="O346" s="231"/>
      <c r="P346" s="231"/>
      <c r="Q346" s="231"/>
    </row>
    <row r="347" spans="1:17" ht="15.6" customHeight="1" x14ac:dyDescent="0.3">
      <c r="A347" s="274"/>
      <c r="B347" s="240"/>
      <c r="C347" s="206"/>
      <c r="D347" s="206"/>
      <c r="I347" s="206"/>
      <c r="J347" s="206"/>
      <c r="K347" s="231"/>
      <c r="L347" s="231"/>
      <c r="M347" s="231"/>
      <c r="N347" s="231"/>
      <c r="O347" s="231"/>
      <c r="P347" s="231"/>
      <c r="Q347" s="231"/>
    </row>
    <row r="348" spans="1:17" ht="15.6" customHeight="1" x14ac:dyDescent="0.3">
      <c r="A348" s="215"/>
      <c r="B348" s="215"/>
      <c r="C348" s="206"/>
      <c r="D348" s="215"/>
      <c r="E348" s="215"/>
      <c r="F348" s="215"/>
      <c r="G348" s="215"/>
      <c r="H348" s="215"/>
      <c r="I348" s="206"/>
      <c r="J348" s="206"/>
      <c r="L348" s="231"/>
      <c r="M348" s="231"/>
      <c r="N348" s="231"/>
      <c r="O348" s="231"/>
      <c r="P348" s="231"/>
      <c r="Q348" s="231"/>
    </row>
    <row r="349" spans="1:17" ht="15.6" customHeight="1" x14ac:dyDescent="0.3">
      <c r="A349" s="210"/>
      <c r="B349" s="254"/>
      <c r="C349" s="206"/>
      <c r="D349" s="215"/>
      <c r="E349" s="215"/>
      <c r="F349" s="215"/>
      <c r="G349" s="215"/>
      <c r="H349" s="215"/>
      <c r="I349" s="206"/>
      <c r="J349" s="206"/>
      <c r="L349" s="231"/>
      <c r="M349" s="231"/>
      <c r="N349" s="231"/>
      <c r="O349" s="231"/>
      <c r="P349" s="231"/>
      <c r="Q349" s="231"/>
    </row>
    <row r="350" spans="1:17" ht="15.6" customHeight="1" x14ac:dyDescent="0.3">
      <c r="A350" s="210"/>
      <c r="B350" s="254"/>
      <c r="C350" s="237"/>
      <c r="D350" s="215"/>
      <c r="E350" s="215"/>
      <c r="F350" s="215"/>
      <c r="G350" s="215"/>
      <c r="H350" s="215"/>
      <c r="I350" s="206"/>
      <c r="J350" s="206"/>
      <c r="L350" s="231"/>
      <c r="M350" s="231"/>
      <c r="N350" s="231"/>
      <c r="O350" s="231"/>
      <c r="P350" s="231"/>
      <c r="Q350" s="231"/>
    </row>
    <row r="351" spans="1:17" ht="15.6" customHeight="1" x14ac:dyDescent="0.3">
      <c r="A351" s="238"/>
      <c r="B351" s="240"/>
      <c r="C351" s="206"/>
      <c r="D351" s="207"/>
      <c r="E351" s="206"/>
      <c r="G351" s="215"/>
      <c r="H351" s="215"/>
      <c r="I351" s="206"/>
      <c r="J351" s="206"/>
      <c r="L351" s="231"/>
      <c r="M351" s="231"/>
      <c r="N351" s="231"/>
      <c r="O351" s="231"/>
      <c r="P351" s="231"/>
      <c r="Q351" s="231"/>
    </row>
    <row r="352" spans="1:17" ht="15.6" customHeight="1" x14ac:dyDescent="0.3">
      <c r="A352" s="238"/>
      <c r="B352" s="240"/>
      <c r="C352" s="206"/>
      <c r="D352" s="207"/>
      <c r="E352" s="206"/>
      <c r="G352" s="215"/>
      <c r="H352" s="215"/>
      <c r="I352" s="206"/>
      <c r="J352" s="206"/>
      <c r="L352" s="231"/>
      <c r="M352" s="231"/>
      <c r="N352" s="231"/>
      <c r="O352" s="231"/>
      <c r="P352" s="231"/>
      <c r="Q352" s="231"/>
    </row>
    <row r="353" spans="1:17" ht="15.6" customHeight="1" x14ac:dyDescent="0.3">
      <c r="A353" s="238"/>
      <c r="B353" s="240"/>
      <c r="C353" s="206"/>
      <c r="D353" s="215"/>
      <c r="E353" s="215"/>
      <c r="F353" s="215"/>
      <c r="G353" s="215"/>
      <c r="H353" s="215"/>
      <c r="I353" s="206"/>
      <c r="J353" s="206"/>
      <c r="L353" s="231"/>
      <c r="M353" s="231"/>
      <c r="N353" s="231"/>
      <c r="O353" s="231"/>
      <c r="P353" s="231"/>
      <c r="Q353" s="231"/>
    </row>
    <row r="354" spans="1:17" ht="15.6" customHeight="1" x14ac:dyDescent="0.3">
      <c r="A354" s="238"/>
      <c r="B354" s="240"/>
      <c r="C354" s="206"/>
      <c r="D354" s="215"/>
      <c r="E354" s="215"/>
      <c r="F354" s="215"/>
      <c r="G354" s="215"/>
      <c r="H354" s="215"/>
      <c r="I354" s="206"/>
      <c r="J354" s="206"/>
      <c r="L354" s="231"/>
      <c r="M354" s="231"/>
      <c r="N354" s="231"/>
      <c r="O354" s="231"/>
      <c r="P354" s="231"/>
      <c r="Q354" s="231"/>
    </row>
    <row r="355" spans="1:17" ht="15.6" customHeight="1" x14ac:dyDescent="0.3">
      <c r="A355" s="238"/>
      <c r="B355" s="240"/>
      <c r="C355" s="206"/>
      <c r="D355" s="215"/>
      <c r="E355" s="215"/>
      <c r="F355" s="215"/>
      <c r="G355" s="215"/>
      <c r="H355" s="215"/>
      <c r="I355" s="206"/>
      <c r="L355" s="231"/>
      <c r="N355" s="231"/>
      <c r="O355" s="231"/>
      <c r="P355" s="231"/>
      <c r="Q355" s="231"/>
    </row>
    <row r="356" spans="1:17" ht="15.6" customHeight="1" x14ac:dyDescent="0.3">
      <c r="A356" s="238"/>
      <c r="B356" s="240"/>
      <c r="C356" s="206"/>
      <c r="D356" s="215"/>
      <c r="E356" s="215"/>
      <c r="F356" s="215"/>
      <c r="G356" s="215"/>
      <c r="H356" s="215"/>
      <c r="I356" s="206"/>
      <c r="L356" s="231"/>
    </row>
    <row r="357" spans="1:17" ht="15.6" customHeight="1" x14ac:dyDescent="0.3">
      <c r="A357" s="238"/>
      <c r="B357" s="275"/>
      <c r="C357" s="206"/>
      <c r="L357" s="231"/>
    </row>
    <row r="358" spans="1:17" ht="15.6" customHeight="1" x14ac:dyDescent="0.3">
      <c r="A358" s="210"/>
      <c r="B358" s="276"/>
      <c r="C358" s="206"/>
      <c r="D358" s="277"/>
      <c r="E358" s="215"/>
      <c r="F358" s="215"/>
      <c r="G358" s="215"/>
      <c r="H358" s="215"/>
      <c r="L358" s="231"/>
    </row>
    <row r="359" spans="1:17" ht="15.6" customHeight="1" x14ac:dyDescent="0.3">
      <c r="A359" s="238"/>
      <c r="B359" s="240"/>
      <c r="C359" s="206"/>
      <c r="D359" s="215"/>
      <c r="E359" s="215"/>
      <c r="F359" s="215"/>
      <c r="G359" s="215"/>
      <c r="H359" s="215"/>
      <c r="I359" s="206"/>
      <c r="L359" s="231"/>
    </row>
    <row r="360" spans="1:17" ht="15.6" customHeight="1" x14ac:dyDescent="0.3">
      <c r="A360" s="238"/>
      <c r="B360" s="240"/>
      <c r="C360" s="206"/>
      <c r="D360" s="215"/>
      <c r="E360" s="215"/>
      <c r="F360" s="215"/>
      <c r="G360" s="215"/>
      <c r="H360" s="215"/>
      <c r="I360" s="206"/>
      <c r="L360" s="231"/>
    </row>
    <row r="361" spans="1:17" ht="15.6" customHeight="1" x14ac:dyDescent="0.3">
      <c r="A361" s="215"/>
      <c r="B361" s="215"/>
      <c r="C361" s="215"/>
      <c r="D361" s="215"/>
      <c r="E361" s="215"/>
      <c r="F361" s="215"/>
      <c r="G361" s="215"/>
      <c r="H361" s="215"/>
      <c r="I361" s="215"/>
      <c r="L361" s="231"/>
    </row>
    <row r="362" spans="1:17" ht="15.6" customHeight="1" x14ac:dyDescent="0.3">
      <c r="A362" s="215"/>
      <c r="B362" s="215"/>
      <c r="C362" s="215"/>
      <c r="D362" s="215"/>
      <c r="E362" s="215"/>
      <c r="F362" s="215"/>
      <c r="G362" s="215"/>
      <c r="H362" s="215"/>
      <c r="I362" s="215"/>
    </row>
    <row r="363" spans="1:17" ht="15.6" customHeight="1" x14ac:dyDescent="0.3">
      <c r="A363" s="215"/>
      <c r="B363" s="215"/>
      <c r="C363" s="215"/>
      <c r="D363" s="215"/>
      <c r="E363" s="215"/>
      <c r="F363" s="215"/>
      <c r="G363" s="215"/>
      <c r="H363" s="215"/>
      <c r="I363" s="215"/>
    </row>
    <row r="364" spans="1:17" ht="15.6" customHeight="1" x14ac:dyDescent="0.3">
      <c r="A364" s="215"/>
      <c r="B364" s="215"/>
      <c r="C364" s="215"/>
      <c r="D364" s="215"/>
      <c r="E364" s="215"/>
      <c r="F364" s="215"/>
      <c r="G364" s="215"/>
      <c r="H364" s="215"/>
      <c r="I364" s="215"/>
    </row>
    <row r="365" spans="1:17" ht="15.6" customHeight="1" x14ac:dyDescent="0.3">
      <c r="A365" s="215"/>
      <c r="B365" s="215"/>
      <c r="C365" s="215"/>
      <c r="D365" s="215"/>
      <c r="E365" s="215"/>
      <c r="F365" s="215"/>
      <c r="G365" s="215"/>
      <c r="H365" s="215"/>
      <c r="I365" s="215"/>
    </row>
    <row r="366" spans="1:17" ht="15.6" customHeight="1" x14ac:dyDescent="0.3">
      <c r="A366" s="215"/>
      <c r="B366" s="215"/>
      <c r="C366" s="215"/>
      <c r="D366" s="215"/>
      <c r="E366" s="215"/>
      <c r="F366" s="215"/>
      <c r="G366" s="215"/>
      <c r="H366" s="215"/>
      <c r="I366" s="215"/>
    </row>
    <row r="367" spans="1:17" ht="15.6" customHeight="1" x14ac:dyDescent="0.3">
      <c r="A367" s="215"/>
      <c r="B367" s="215"/>
      <c r="C367" s="215"/>
      <c r="D367" s="215"/>
      <c r="E367" s="215"/>
      <c r="F367" s="215"/>
      <c r="G367" s="215"/>
      <c r="H367" s="215"/>
      <c r="I367" s="215"/>
    </row>
    <row r="368" spans="1:17" ht="15.6" customHeight="1" x14ac:dyDescent="0.3">
      <c r="A368" s="215"/>
      <c r="B368" s="215"/>
      <c r="C368" s="215"/>
      <c r="D368" s="215"/>
      <c r="E368" s="215"/>
      <c r="F368" s="215"/>
      <c r="G368" s="215"/>
      <c r="H368" s="215"/>
      <c r="I368" s="215"/>
    </row>
    <row r="369" spans="1:14" ht="15.6" customHeight="1" x14ac:dyDescent="0.3">
      <c r="A369" s="215"/>
      <c r="B369" s="215"/>
      <c r="C369" s="215"/>
      <c r="D369" s="215"/>
      <c r="E369" s="215"/>
      <c r="F369" s="215"/>
      <c r="G369" s="215"/>
      <c r="H369" s="215"/>
      <c r="I369" s="215"/>
    </row>
    <row r="370" spans="1:14" ht="15.6" customHeight="1" x14ac:dyDescent="0.3">
      <c r="A370" s="215"/>
      <c r="B370" s="215"/>
      <c r="C370" s="215"/>
      <c r="D370" s="215"/>
      <c r="E370" s="215"/>
      <c r="F370" s="215"/>
      <c r="G370" s="215"/>
      <c r="H370" s="215"/>
      <c r="I370" s="215"/>
    </row>
    <row r="371" spans="1:14" ht="15.6" customHeight="1" x14ac:dyDescent="0.3">
      <c r="A371" s="215"/>
      <c r="B371" s="215"/>
      <c r="C371" s="215"/>
      <c r="D371" s="215"/>
      <c r="E371" s="215"/>
      <c r="F371" s="215"/>
      <c r="G371" s="215"/>
      <c r="H371" s="215"/>
      <c r="I371" s="215"/>
    </row>
    <row r="372" spans="1:14" ht="15.6" customHeight="1" x14ac:dyDescent="0.3">
      <c r="A372" s="215"/>
      <c r="B372" s="215"/>
      <c r="C372" s="215"/>
      <c r="D372" s="215"/>
      <c r="E372" s="215"/>
      <c r="F372" s="215"/>
      <c r="G372" s="215"/>
      <c r="H372" s="215"/>
      <c r="I372" s="215"/>
    </row>
    <row r="373" spans="1:14" ht="15.6" customHeight="1" x14ac:dyDescent="0.3">
      <c r="A373" s="215"/>
      <c r="B373" s="215"/>
      <c r="C373" s="215"/>
      <c r="D373" s="215"/>
      <c r="E373" s="215"/>
      <c r="F373" s="215"/>
      <c r="G373" s="215"/>
      <c r="H373" s="215"/>
      <c r="I373" s="215"/>
    </row>
    <row r="374" spans="1:14" ht="15.6" customHeight="1" x14ac:dyDescent="0.3">
      <c r="A374" s="220"/>
      <c r="B374" s="215"/>
      <c r="C374" s="215"/>
      <c r="D374" s="215"/>
      <c r="E374" s="215"/>
      <c r="F374" s="215"/>
      <c r="G374" s="215"/>
      <c r="H374" s="215"/>
      <c r="I374" s="215"/>
    </row>
    <row r="375" spans="1:14" ht="15.6" customHeight="1" x14ac:dyDescent="0.3">
      <c r="A375" s="220"/>
      <c r="C375" s="245"/>
      <c r="D375" s="245"/>
      <c r="E375" s="245"/>
      <c r="H375" s="206"/>
      <c r="I375" s="206"/>
      <c r="K375" s="231"/>
      <c r="L375" s="231"/>
      <c r="M375" s="231"/>
      <c r="N375" s="231"/>
    </row>
    <row r="376" spans="1:14" ht="15.6" customHeight="1" x14ac:dyDescent="0.3">
      <c r="C376" s="245"/>
      <c r="D376" s="245"/>
      <c r="E376" s="245"/>
      <c r="K376" s="231"/>
      <c r="L376" s="231"/>
      <c r="M376" s="231"/>
      <c r="N376" s="231"/>
    </row>
    <row r="377" spans="1:14" ht="15.6" customHeight="1" x14ac:dyDescent="0.3">
      <c r="K377" s="231"/>
      <c r="L377" s="231"/>
      <c r="M377" s="231"/>
      <c r="N377" s="231"/>
    </row>
    <row r="378" spans="1:14" ht="15.6" customHeight="1" x14ac:dyDescent="0.3">
      <c r="K378" s="231"/>
      <c r="L378" s="231"/>
      <c r="M378" s="231"/>
      <c r="N378" s="231"/>
    </row>
    <row r="379" spans="1:14" ht="15.6" customHeight="1" x14ac:dyDescent="0.3">
      <c r="K379" s="231"/>
      <c r="L379" s="231"/>
      <c r="M379" s="231"/>
      <c r="N379" s="231"/>
    </row>
    <row r="380" spans="1:14" ht="15.6" customHeight="1" x14ac:dyDescent="0.3">
      <c r="K380" s="231"/>
      <c r="L380" s="231"/>
      <c r="M380" s="231"/>
      <c r="N380" s="231"/>
    </row>
    <row r="381" spans="1:14" ht="15.6" customHeight="1" x14ac:dyDescent="0.3">
      <c r="K381" s="231"/>
      <c r="L381" s="231"/>
      <c r="M381" s="231"/>
      <c r="N381" s="231"/>
    </row>
    <row r="382" spans="1:14" ht="15.6" customHeight="1" x14ac:dyDescent="0.3">
      <c r="A382" s="204"/>
      <c r="K382" s="231"/>
      <c r="L382" s="231"/>
      <c r="M382" s="231"/>
      <c r="N382" s="231"/>
    </row>
    <row r="383" spans="1:14" ht="15.6" customHeight="1" x14ac:dyDescent="0.3">
      <c r="A383" s="204"/>
      <c r="B383" s="204"/>
      <c r="C383" s="215"/>
      <c r="D383" s="215"/>
      <c r="E383" s="215"/>
      <c r="F383" s="215"/>
      <c r="K383" s="231"/>
      <c r="L383" s="231"/>
      <c r="M383" s="231"/>
      <c r="N383" s="231"/>
    </row>
    <row r="384" spans="1:14" ht="15.6" customHeight="1" x14ac:dyDescent="0.3">
      <c r="A384" s="204"/>
      <c r="B384" s="204"/>
      <c r="C384" s="215"/>
      <c r="D384" s="215"/>
      <c r="E384" s="215"/>
      <c r="F384" s="215"/>
      <c r="K384" s="231"/>
      <c r="L384" s="231"/>
      <c r="M384" s="231"/>
      <c r="N384" s="231"/>
    </row>
    <row r="385" spans="1:14" ht="15.6" customHeight="1" x14ac:dyDescent="0.3">
      <c r="A385" s="204"/>
      <c r="B385" s="204"/>
      <c r="C385" s="215"/>
      <c r="D385" s="215"/>
      <c r="E385" s="215"/>
      <c r="F385" s="215"/>
      <c r="G385" s="215"/>
      <c r="H385" s="215"/>
      <c r="I385" s="215"/>
      <c r="K385" s="231"/>
      <c r="L385" s="231"/>
      <c r="M385" s="231"/>
      <c r="N385" s="231"/>
    </row>
    <row r="386" spans="1:14" ht="15.6" customHeight="1" x14ac:dyDescent="0.3">
      <c r="A386" s="204"/>
      <c r="B386" s="204"/>
      <c r="C386" s="215"/>
      <c r="D386" s="215"/>
      <c r="E386" s="215"/>
      <c r="F386" s="215"/>
      <c r="G386" s="215"/>
      <c r="H386" s="215"/>
      <c r="I386" s="215"/>
      <c r="K386" s="231"/>
      <c r="L386" s="231"/>
      <c r="M386" s="231"/>
      <c r="N386" s="231"/>
    </row>
    <row r="387" spans="1:14" ht="15.6" customHeight="1" x14ac:dyDescent="0.3">
      <c r="A387" s="204"/>
      <c r="B387" s="204"/>
      <c r="C387" s="215"/>
      <c r="D387" s="215"/>
      <c r="E387" s="215"/>
      <c r="F387" s="215"/>
      <c r="G387" s="215"/>
      <c r="H387" s="215"/>
      <c r="I387" s="215"/>
      <c r="K387" s="231"/>
      <c r="L387" s="231"/>
      <c r="M387" s="231"/>
      <c r="N387" s="231"/>
    </row>
    <row r="388" spans="1:14" ht="15.6" customHeight="1" x14ac:dyDescent="0.3">
      <c r="A388" s="204"/>
      <c r="B388" s="204"/>
      <c r="C388" s="215"/>
      <c r="D388" s="215"/>
      <c r="E388" s="215"/>
      <c r="F388" s="215"/>
      <c r="G388" s="215"/>
      <c r="H388" s="215"/>
      <c r="I388" s="215"/>
      <c r="K388" s="231"/>
      <c r="L388" s="231"/>
      <c r="M388" s="231"/>
      <c r="N388" s="231"/>
    </row>
    <row r="389" spans="1:14" ht="15.6" customHeight="1" x14ac:dyDescent="0.3">
      <c r="A389" s="204"/>
      <c r="B389" s="204"/>
      <c r="C389" s="215"/>
      <c r="D389" s="215"/>
      <c r="E389" s="215"/>
      <c r="F389" s="215"/>
      <c r="G389" s="215"/>
      <c r="H389" s="215"/>
      <c r="I389" s="215"/>
      <c r="K389" s="231"/>
      <c r="L389" s="231"/>
      <c r="M389" s="231"/>
      <c r="N389" s="231"/>
    </row>
    <row r="390" spans="1:14" ht="15.6" customHeight="1" x14ac:dyDescent="0.3">
      <c r="A390" s="204"/>
      <c r="B390" s="204"/>
      <c r="C390" s="215"/>
      <c r="D390" s="215"/>
      <c r="E390" s="215"/>
      <c r="F390" s="215"/>
      <c r="G390" s="215"/>
      <c r="H390" s="215"/>
      <c r="I390" s="215"/>
      <c r="K390" s="231"/>
      <c r="L390" s="231"/>
      <c r="M390" s="231"/>
      <c r="N390" s="231"/>
    </row>
    <row r="391" spans="1:14" ht="15.6" customHeight="1" x14ac:dyDescent="0.3">
      <c r="A391" s="204"/>
      <c r="B391" s="204"/>
      <c r="C391" s="215"/>
      <c r="D391" s="215"/>
      <c r="E391" s="215"/>
      <c r="F391" s="215"/>
      <c r="G391" s="215"/>
      <c r="H391" s="215"/>
      <c r="I391" s="215"/>
      <c r="K391" s="231"/>
      <c r="L391" s="231"/>
      <c r="M391" s="231"/>
      <c r="N391" s="231"/>
    </row>
    <row r="392" spans="1:14" ht="15.6" customHeight="1" x14ac:dyDescent="0.3">
      <c r="A392" s="204"/>
      <c r="B392" s="204"/>
      <c r="C392" s="215"/>
      <c r="D392" s="215"/>
      <c r="E392" s="215"/>
      <c r="F392" s="215"/>
      <c r="G392" s="215"/>
      <c r="H392" s="215"/>
      <c r="I392" s="215"/>
      <c r="K392" s="231"/>
      <c r="L392" s="231"/>
      <c r="M392" s="231"/>
      <c r="N392" s="231"/>
    </row>
    <row r="393" spans="1:14" ht="15.6" customHeight="1" x14ac:dyDescent="0.3">
      <c r="A393" s="204"/>
      <c r="B393" s="204"/>
      <c r="C393" s="215"/>
      <c r="D393" s="215"/>
      <c r="E393" s="215"/>
      <c r="F393" s="215"/>
      <c r="G393" s="215"/>
      <c r="H393" s="215"/>
      <c r="I393" s="215"/>
      <c r="K393" s="231"/>
      <c r="L393" s="231"/>
      <c r="M393" s="231"/>
      <c r="N393" s="231"/>
    </row>
    <row r="394" spans="1:14" ht="15.6" customHeight="1" x14ac:dyDescent="0.3">
      <c r="A394" s="204"/>
      <c r="B394" s="204"/>
      <c r="C394" s="215"/>
      <c r="D394" s="215"/>
      <c r="E394" s="215"/>
      <c r="F394" s="215"/>
      <c r="G394" s="215"/>
      <c r="H394" s="215"/>
      <c r="I394" s="215"/>
      <c r="K394" s="231"/>
      <c r="L394" s="231"/>
      <c r="M394" s="231"/>
      <c r="N394" s="231"/>
    </row>
    <row r="395" spans="1:14" ht="15.6" customHeight="1" x14ac:dyDescent="0.3">
      <c r="A395" s="204"/>
      <c r="B395" s="204"/>
      <c r="C395" s="215"/>
      <c r="D395" s="215"/>
      <c r="E395" s="215"/>
      <c r="F395" s="215"/>
      <c r="G395" s="215"/>
      <c r="H395" s="215"/>
      <c r="I395" s="215"/>
      <c r="K395" s="231"/>
      <c r="L395" s="231"/>
      <c r="M395" s="231"/>
      <c r="N395" s="231"/>
    </row>
    <row r="396" spans="1:14" ht="15.6" customHeight="1" x14ac:dyDescent="0.3">
      <c r="A396" s="204"/>
      <c r="B396" s="204"/>
      <c r="C396" s="215"/>
      <c r="D396" s="215"/>
      <c r="E396" s="215"/>
      <c r="F396" s="215"/>
      <c r="G396" s="215"/>
      <c r="H396" s="215"/>
      <c r="I396" s="215"/>
      <c r="K396" s="231"/>
      <c r="L396" s="231"/>
      <c r="M396" s="231"/>
      <c r="N396" s="231"/>
    </row>
    <row r="397" spans="1:14" ht="15.6" customHeight="1" x14ac:dyDescent="0.3">
      <c r="A397" s="204"/>
      <c r="B397" s="204"/>
      <c r="C397" s="215"/>
      <c r="D397" s="215"/>
      <c r="E397" s="215"/>
      <c r="F397" s="215"/>
      <c r="G397" s="215"/>
      <c r="H397" s="215"/>
      <c r="I397" s="215"/>
      <c r="K397" s="231"/>
      <c r="L397" s="231"/>
      <c r="M397" s="231"/>
      <c r="N397" s="231"/>
    </row>
    <row r="398" spans="1:14" ht="15.6" customHeight="1" x14ac:dyDescent="0.3">
      <c r="A398" s="204"/>
      <c r="B398" s="204"/>
      <c r="C398" s="215"/>
      <c r="D398" s="215"/>
      <c r="E398" s="215"/>
      <c r="F398" s="215"/>
      <c r="G398" s="215"/>
      <c r="H398" s="215"/>
      <c r="I398" s="215"/>
      <c r="K398" s="231"/>
      <c r="L398" s="231"/>
      <c r="M398" s="231"/>
      <c r="N398" s="231"/>
    </row>
    <row r="399" spans="1:14" ht="15.6" customHeight="1" x14ac:dyDescent="0.3">
      <c r="A399" s="204"/>
      <c r="B399" s="204"/>
      <c r="C399" s="215"/>
      <c r="D399" s="215"/>
      <c r="E399" s="215"/>
      <c r="F399" s="215"/>
      <c r="G399" s="215"/>
      <c r="H399" s="215"/>
      <c r="I399" s="215"/>
      <c r="K399" s="231"/>
      <c r="L399" s="231"/>
      <c r="M399" s="231"/>
      <c r="N399" s="231"/>
    </row>
    <row r="400" spans="1:14" ht="15.6" customHeight="1" x14ac:dyDescent="0.3">
      <c r="A400" s="204"/>
      <c r="B400" s="204"/>
      <c r="C400" s="215"/>
      <c r="D400" s="215"/>
      <c r="E400" s="215"/>
      <c r="F400" s="215"/>
      <c r="G400" s="215"/>
      <c r="H400" s="215"/>
      <c r="I400" s="215"/>
      <c r="K400" s="231"/>
      <c r="L400" s="231"/>
      <c r="M400" s="231"/>
      <c r="N400" s="231"/>
    </row>
    <row r="401" spans="1:14" ht="15.6" customHeight="1" x14ac:dyDescent="0.3">
      <c r="A401" s="204"/>
      <c r="B401" s="204"/>
      <c r="C401" s="215"/>
      <c r="D401" s="215"/>
      <c r="E401" s="215"/>
      <c r="F401" s="215"/>
      <c r="G401" s="215"/>
      <c r="H401" s="215"/>
      <c r="I401" s="215"/>
      <c r="K401" s="231"/>
      <c r="L401" s="231"/>
      <c r="M401" s="231"/>
      <c r="N401" s="231"/>
    </row>
    <row r="402" spans="1:14" ht="15.6" customHeight="1" x14ac:dyDescent="0.3">
      <c r="A402" s="204"/>
      <c r="B402" s="204"/>
      <c r="C402" s="215"/>
      <c r="D402" s="215"/>
      <c r="E402" s="215"/>
      <c r="F402" s="215"/>
      <c r="G402" s="215"/>
      <c r="H402" s="215"/>
      <c r="I402" s="215"/>
      <c r="K402" s="231"/>
      <c r="L402" s="231"/>
      <c r="M402" s="231"/>
      <c r="N402" s="231"/>
    </row>
    <row r="403" spans="1:14" ht="15.6" customHeight="1" x14ac:dyDescent="0.3">
      <c r="A403" s="204"/>
      <c r="B403" s="204"/>
      <c r="C403" s="215"/>
      <c r="D403" s="215"/>
      <c r="E403" s="215"/>
      <c r="F403" s="215"/>
      <c r="G403" s="215"/>
      <c r="H403" s="215"/>
      <c r="I403" s="215"/>
      <c r="K403" s="231"/>
      <c r="L403" s="231"/>
      <c r="M403" s="231"/>
      <c r="N403" s="231"/>
    </row>
    <row r="404" spans="1:14" ht="15.6" customHeight="1" x14ac:dyDescent="0.3">
      <c r="A404" s="204"/>
      <c r="B404" s="204"/>
      <c r="C404" s="215"/>
      <c r="D404" s="215"/>
      <c r="E404" s="215"/>
      <c r="F404" s="215"/>
      <c r="G404" s="215"/>
      <c r="H404" s="215"/>
      <c r="I404" s="215"/>
      <c r="K404" s="231"/>
      <c r="L404" s="231"/>
      <c r="M404" s="231"/>
      <c r="N404" s="231"/>
    </row>
    <row r="405" spans="1:14" ht="15.6" customHeight="1" x14ac:dyDescent="0.3">
      <c r="A405" s="204"/>
      <c r="B405" s="204"/>
      <c r="C405" s="215"/>
      <c r="D405" s="215"/>
      <c r="E405" s="215"/>
      <c r="F405" s="215"/>
      <c r="G405" s="215"/>
      <c r="H405" s="215"/>
      <c r="I405" s="215"/>
      <c r="K405" s="231"/>
      <c r="L405" s="231"/>
      <c r="M405" s="231"/>
      <c r="N405" s="231"/>
    </row>
    <row r="406" spans="1:14" ht="15.6" customHeight="1" x14ac:dyDescent="0.3">
      <c r="A406" s="204"/>
      <c r="B406" s="204"/>
      <c r="C406" s="215"/>
      <c r="D406" s="215"/>
      <c r="E406" s="215"/>
      <c r="F406" s="215"/>
      <c r="G406" s="215"/>
      <c r="H406" s="215"/>
      <c r="I406" s="215"/>
      <c r="K406" s="231"/>
      <c r="L406" s="231"/>
      <c r="M406" s="231"/>
      <c r="N406" s="231"/>
    </row>
    <row r="407" spans="1:14" ht="15.6" customHeight="1" x14ac:dyDescent="0.3">
      <c r="A407" s="204"/>
      <c r="B407" s="204"/>
      <c r="C407" s="215"/>
      <c r="D407" s="215"/>
      <c r="E407" s="215"/>
      <c r="F407" s="215"/>
      <c r="G407" s="215"/>
      <c r="H407" s="215"/>
      <c r="I407" s="215"/>
      <c r="K407" s="231"/>
      <c r="L407" s="231"/>
      <c r="M407" s="231"/>
      <c r="N407" s="231"/>
    </row>
    <row r="408" spans="1:14" ht="15.6" customHeight="1" x14ac:dyDescent="0.3">
      <c r="A408" s="204"/>
      <c r="B408" s="204"/>
      <c r="C408" s="215"/>
      <c r="D408" s="215"/>
      <c r="E408" s="215"/>
      <c r="F408" s="215"/>
      <c r="G408" s="215"/>
      <c r="H408" s="215"/>
      <c r="I408" s="215"/>
      <c r="K408" s="231"/>
      <c r="L408" s="231"/>
      <c r="M408" s="231"/>
      <c r="N408" s="231"/>
    </row>
    <row r="409" spans="1:14" ht="15.6" customHeight="1" x14ac:dyDescent="0.3">
      <c r="A409" s="204"/>
      <c r="B409" s="204"/>
      <c r="C409" s="215"/>
      <c r="D409" s="215"/>
      <c r="E409" s="215"/>
      <c r="F409" s="215"/>
      <c r="G409" s="215"/>
      <c r="H409" s="215"/>
      <c r="I409" s="215"/>
      <c r="K409" s="231"/>
      <c r="L409" s="231"/>
      <c r="M409" s="231"/>
      <c r="N409" s="231"/>
    </row>
    <row r="410" spans="1:14" ht="15.6" customHeight="1" x14ac:dyDescent="0.3">
      <c r="A410" s="204"/>
      <c r="B410" s="204"/>
      <c r="C410" s="215"/>
      <c r="D410" s="215"/>
      <c r="E410" s="215"/>
      <c r="F410" s="215"/>
      <c r="G410" s="215"/>
      <c r="H410" s="215"/>
      <c r="I410" s="215"/>
      <c r="K410" s="231"/>
      <c r="L410" s="231"/>
      <c r="M410" s="231"/>
      <c r="N410" s="231"/>
    </row>
    <row r="411" spans="1:14" ht="15.6" customHeight="1" x14ac:dyDescent="0.3">
      <c r="A411" s="204"/>
      <c r="B411" s="204"/>
      <c r="C411" s="215"/>
      <c r="D411" s="215"/>
      <c r="E411" s="215"/>
      <c r="F411" s="215"/>
      <c r="G411" s="215"/>
      <c r="H411" s="215"/>
      <c r="I411" s="215"/>
      <c r="K411" s="231"/>
      <c r="L411" s="231"/>
      <c r="M411" s="231"/>
      <c r="N411" s="231"/>
    </row>
    <row r="412" spans="1:14" ht="15.6" customHeight="1" x14ac:dyDescent="0.3">
      <c r="A412" s="204"/>
      <c r="B412" s="204"/>
      <c r="C412" s="215"/>
      <c r="D412" s="215"/>
      <c r="E412" s="215"/>
      <c r="F412" s="215"/>
      <c r="G412" s="215"/>
      <c r="H412" s="215"/>
      <c r="I412" s="215"/>
      <c r="K412" s="231"/>
      <c r="L412" s="231"/>
      <c r="M412" s="231"/>
      <c r="N412" s="231"/>
    </row>
    <row r="413" spans="1:14" ht="15.6" customHeight="1" x14ac:dyDescent="0.3">
      <c r="A413" s="204"/>
      <c r="B413" s="204"/>
      <c r="C413" s="215"/>
      <c r="D413" s="215"/>
      <c r="E413" s="215"/>
      <c r="F413" s="215"/>
      <c r="G413" s="215"/>
      <c r="H413" s="215"/>
      <c r="I413" s="215"/>
      <c r="K413" s="231"/>
      <c r="L413" s="231"/>
      <c r="M413" s="231"/>
      <c r="N413" s="231"/>
    </row>
    <row r="414" spans="1:14" ht="15.6" customHeight="1" x14ac:dyDescent="0.3">
      <c r="A414" s="204"/>
      <c r="B414" s="204"/>
      <c r="C414" s="215"/>
      <c r="D414" s="215"/>
      <c r="E414" s="215"/>
      <c r="F414" s="215"/>
      <c r="G414" s="215"/>
      <c r="H414" s="215"/>
      <c r="I414" s="215"/>
      <c r="K414" s="231"/>
      <c r="L414" s="231"/>
      <c r="M414" s="231"/>
      <c r="N414" s="231"/>
    </row>
    <row r="415" spans="1:14" ht="15.6" customHeight="1" x14ac:dyDescent="0.3">
      <c r="A415" s="204"/>
      <c r="B415" s="204"/>
      <c r="C415" s="215"/>
      <c r="D415" s="215"/>
      <c r="E415" s="215"/>
      <c r="F415" s="215"/>
      <c r="G415" s="215"/>
      <c r="H415" s="215"/>
      <c r="I415" s="215"/>
      <c r="K415" s="231"/>
      <c r="L415" s="231"/>
      <c r="M415" s="231"/>
      <c r="N415" s="231"/>
    </row>
    <row r="416" spans="1:14" ht="15.6" customHeight="1" x14ac:dyDescent="0.3">
      <c r="A416" s="204"/>
      <c r="B416" s="204"/>
      <c r="C416" s="215"/>
      <c r="D416" s="215"/>
      <c r="E416" s="215"/>
      <c r="F416" s="215"/>
      <c r="G416" s="215"/>
      <c r="H416" s="215"/>
      <c r="I416" s="215"/>
      <c r="K416" s="231"/>
      <c r="L416" s="231"/>
      <c r="M416" s="231"/>
      <c r="N416" s="231"/>
    </row>
    <row r="417" spans="1:14" ht="15.6" customHeight="1" x14ac:dyDescent="0.3">
      <c r="A417" s="204"/>
      <c r="B417" s="204"/>
      <c r="C417" s="215"/>
      <c r="D417" s="215"/>
      <c r="E417" s="215"/>
      <c r="F417" s="215"/>
      <c r="G417" s="215"/>
      <c r="H417" s="215"/>
      <c r="I417" s="215"/>
      <c r="K417" s="231"/>
      <c r="L417" s="231"/>
      <c r="M417" s="231"/>
      <c r="N417" s="231"/>
    </row>
    <row r="418" spans="1:14" ht="15.6" customHeight="1" x14ac:dyDescent="0.3">
      <c r="A418" s="204"/>
      <c r="B418" s="204"/>
      <c r="C418" s="215"/>
      <c r="D418" s="215"/>
      <c r="E418" s="215"/>
      <c r="F418" s="215"/>
      <c r="G418" s="215"/>
      <c r="H418" s="215"/>
      <c r="I418" s="215"/>
      <c r="K418" s="231"/>
      <c r="L418" s="231"/>
      <c r="M418" s="231"/>
      <c r="N418" s="231"/>
    </row>
    <row r="419" spans="1:14" ht="15.6" customHeight="1" x14ac:dyDescent="0.3">
      <c r="A419" s="204"/>
      <c r="B419" s="204"/>
      <c r="C419" s="215"/>
      <c r="D419" s="215"/>
      <c r="E419" s="215"/>
      <c r="F419" s="215"/>
      <c r="G419" s="215"/>
      <c r="H419" s="215"/>
      <c r="I419" s="215"/>
      <c r="K419" s="231"/>
      <c r="L419" s="231"/>
      <c r="M419" s="231"/>
      <c r="N419" s="231"/>
    </row>
    <row r="420" spans="1:14" ht="15.6" customHeight="1" x14ac:dyDescent="0.3">
      <c r="A420" s="204"/>
      <c r="B420" s="204"/>
      <c r="C420" s="215"/>
      <c r="D420" s="215"/>
      <c r="E420" s="215"/>
      <c r="F420" s="215"/>
      <c r="G420" s="215"/>
      <c r="H420" s="215"/>
      <c r="I420" s="215"/>
      <c r="K420" s="231"/>
      <c r="L420" s="231"/>
      <c r="M420" s="231"/>
      <c r="N420" s="231"/>
    </row>
    <row r="421" spans="1:14" ht="15.6" customHeight="1" x14ac:dyDescent="0.3">
      <c r="A421" s="204"/>
      <c r="B421" s="204"/>
      <c r="C421" s="215"/>
      <c r="D421" s="215"/>
      <c r="E421" s="215"/>
      <c r="F421" s="215"/>
      <c r="G421" s="215"/>
      <c r="H421" s="215"/>
      <c r="I421" s="215"/>
      <c r="K421" s="231"/>
      <c r="L421" s="231"/>
      <c r="M421" s="231"/>
      <c r="N421" s="231"/>
    </row>
    <row r="422" spans="1:14" ht="15.6" customHeight="1" x14ac:dyDescent="0.3">
      <c r="B422" s="204"/>
      <c r="C422" s="215"/>
      <c r="D422" s="215"/>
      <c r="E422" s="215"/>
      <c r="F422" s="215"/>
      <c r="G422" s="215"/>
      <c r="H422" s="215"/>
      <c r="I422" s="215"/>
      <c r="K422" s="231"/>
      <c r="L422" s="231"/>
      <c r="M422" s="231"/>
      <c r="N422" s="231"/>
    </row>
    <row r="423" spans="1:14" ht="15.6" customHeight="1" x14ac:dyDescent="0.3">
      <c r="C423" s="215"/>
      <c r="D423" s="215"/>
      <c r="E423" s="215"/>
      <c r="F423" s="215"/>
      <c r="G423" s="215"/>
      <c r="H423" s="215"/>
      <c r="I423" s="215"/>
      <c r="K423" s="231"/>
      <c r="L423" s="231"/>
      <c r="M423" s="231"/>
      <c r="N423" s="231"/>
    </row>
    <row r="424" spans="1:14" ht="15.6" customHeight="1" x14ac:dyDescent="0.3">
      <c r="C424" s="215"/>
      <c r="D424" s="215"/>
      <c r="E424" s="215"/>
      <c r="F424" s="215"/>
      <c r="G424" s="215"/>
      <c r="H424" s="215"/>
      <c r="I424" s="215"/>
      <c r="K424" s="231"/>
      <c r="L424" s="231"/>
      <c r="M424" s="231"/>
      <c r="N424" s="231"/>
    </row>
    <row r="425" spans="1:14" ht="15.6" customHeight="1" x14ac:dyDescent="0.3">
      <c r="C425" s="215"/>
      <c r="D425" s="215"/>
      <c r="E425" s="215"/>
      <c r="F425" s="215"/>
      <c r="G425" s="215"/>
      <c r="H425" s="215"/>
      <c r="I425" s="215"/>
      <c r="K425" s="231"/>
      <c r="L425" s="231"/>
      <c r="M425" s="231"/>
      <c r="N425" s="231"/>
    </row>
    <row r="426" spans="1:14" ht="15.6" customHeight="1" x14ac:dyDescent="0.3">
      <c r="C426" s="215"/>
      <c r="D426" s="215"/>
      <c r="E426" s="215"/>
      <c r="F426" s="215"/>
      <c r="G426" s="215"/>
      <c r="H426" s="215"/>
      <c r="I426" s="215"/>
      <c r="K426" s="231"/>
      <c r="L426" s="231"/>
      <c r="M426" s="231"/>
      <c r="N426" s="231"/>
    </row>
    <row r="427" spans="1:14" ht="15.6" customHeight="1" x14ac:dyDescent="0.3">
      <c r="C427" s="215"/>
      <c r="D427" s="215"/>
      <c r="E427" s="215"/>
      <c r="F427" s="215"/>
      <c r="G427" s="215"/>
      <c r="H427" s="215"/>
      <c r="I427" s="215"/>
      <c r="K427" s="231"/>
      <c r="L427" s="231"/>
      <c r="M427" s="231"/>
      <c r="N427" s="231"/>
    </row>
    <row r="428" spans="1:14" ht="15.6" customHeight="1" x14ac:dyDescent="0.3">
      <c r="C428" s="215"/>
      <c r="D428" s="215"/>
      <c r="E428" s="215"/>
      <c r="F428" s="215"/>
      <c r="G428" s="215"/>
      <c r="H428" s="215"/>
      <c r="I428" s="215"/>
      <c r="K428" s="231"/>
      <c r="L428" s="231"/>
      <c r="M428" s="231"/>
      <c r="N428" s="231"/>
    </row>
    <row r="429" spans="1:14" ht="15.6" customHeight="1" x14ac:dyDescent="0.3">
      <c r="C429" s="215"/>
      <c r="D429" s="215"/>
      <c r="E429" s="215"/>
      <c r="F429" s="215"/>
      <c r="G429" s="215"/>
      <c r="H429" s="215"/>
      <c r="I429" s="215"/>
      <c r="K429" s="231"/>
      <c r="L429" s="231"/>
      <c r="M429" s="231"/>
      <c r="N429" s="231"/>
    </row>
    <row r="430" spans="1:14" ht="15.6" customHeight="1" x14ac:dyDescent="0.3">
      <c r="A430" s="215"/>
      <c r="C430" s="215"/>
      <c r="D430" s="215"/>
      <c r="E430" s="215"/>
      <c r="F430" s="215"/>
      <c r="G430" s="215"/>
      <c r="H430" s="215"/>
      <c r="I430" s="215"/>
      <c r="K430" s="231"/>
      <c r="L430" s="231"/>
      <c r="M430" s="231"/>
      <c r="N430" s="231"/>
    </row>
    <row r="431" spans="1:14" ht="15.6" customHeight="1" x14ac:dyDescent="0.3">
      <c r="A431" s="215"/>
      <c r="B431" s="215"/>
      <c r="C431" s="215"/>
      <c r="D431" s="215"/>
      <c r="E431" s="215"/>
      <c r="F431" s="215"/>
      <c r="G431" s="215"/>
      <c r="H431" s="215"/>
      <c r="I431" s="215"/>
      <c r="K431" s="231"/>
      <c r="L431" s="231"/>
      <c r="M431" s="231"/>
      <c r="N431" s="231"/>
    </row>
    <row r="432" spans="1:14" ht="15.6" customHeight="1" x14ac:dyDescent="0.3">
      <c r="A432" s="215"/>
      <c r="B432" s="215"/>
      <c r="C432" s="215"/>
      <c r="D432" s="215"/>
      <c r="E432" s="215"/>
      <c r="F432" s="215"/>
      <c r="G432" s="215"/>
      <c r="H432" s="215"/>
      <c r="I432" s="215"/>
      <c r="K432" s="231"/>
      <c r="L432" s="231"/>
      <c r="M432" s="231"/>
      <c r="N432" s="231"/>
    </row>
    <row r="433" spans="1:14" ht="15.6" customHeight="1" x14ac:dyDescent="0.3">
      <c r="A433" s="215"/>
      <c r="B433" s="215"/>
      <c r="C433" s="215"/>
      <c r="D433" s="215"/>
      <c r="E433" s="215"/>
      <c r="F433" s="215"/>
      <c r="G433" s="215"/>
      <c r="H433" s="215"/>
      <c r="I433" s="215"/>
      <c r="K433" s="231"/>
      <c r="L433" s="231"/>
      <c r="M433" s="231"/>
      <c r="N433" s="231"/>
    </row>
    <row r="434" spans="1:14" ht="15.6" customHeight="1" x14ac:dyDescent="0.3">
      <c r="A434" s="215"/>
      <c r="B434" s="215"/>
      <c r="C434" s="215"/>
      <c r="D434" s="215"/>
      <c r="E434" s="215"/>
      <c r="F434" s="215"/>
      <c r="G434" s="215"/>
      <c r="H434" s="215"/>
      <c r="I434" s="215"/>
      <c r="K434" s="231"/>
      <c r="L434" s="231"/>
      <c r="M434" s="231"/>
      <c r="N434" s="231"/>
    </row>
    <row r="435" spans="1:14" ht="15.6" customHeight="1" x14ac:dyDescent="0.3">
      <c r="B435" s="215"/>
      <c r="C435" s="215"/>
      <c r="D435" s="215"/>
      <c r="E435" s="215"/>
      <c r="F435" s="215"/>
      <c r="G435" s="215"/>
      <c r="H435" s="215"/>
      <c r="I435" s="215"/>
      <c r="K435" s="231"/>
      <c r="L435" s="231"/>
      <c r="M435" s="231"/>
      <c r="N435" s="231"/>
    </row>
    <row r="436" spans="1:14" ht="15.6" customHeight="1" x14ac:dyDescent="0.3">
      <c r="A436" s="215"/>
      <c r="G436" s="215"/>
      <c r="H436" s="215"/>
      <c r="I436" s="215"/>
      <c r="K436" s="231"/>
      <c r="L436" s="231"/>
      <c r="M436" s="231"/>
      <c r="N436" s="231"/>
    </row>
    <row r="437" spans="1:14" ht="15.6" customHeight="1" x14ac:dyDescent="0.3">
      <c r="A437" s="215"/>
      <c r="B437" s="215"/>
      <c r="C437" s="215"/>
      <c r="D437" s="215"/>
      <c r="E437" s="215"/>
      <c r="F437" s="215"/>
      <c r="G437" s="215"/>
      <c r="H437" s="215"/>
      <c r="I437" s="215"/>
      <c r="K437" s="231"/>
      <c r="L437" s="231"/>
      <c r="M437" s="231"/>
      <c r="N437" s="231"/>
    </row>
    <row r="438" spans="1:14" ht="15.6" customHeight="1" x14ac:dyDescent="0.3">
      <c r="A438" s="215"/>
      <c r="B438" s="215"/>
      <c r="C438" s="215"/>
      <c r="D438" s="215"/>
      <c r="E438" s="215"/>
      <c r="F438" s="215"/>
      <c r="K438" s="231"/>
      <c r="L438" s="231"/>
      <c r="M438" s="231"/>
      <c r="N438" s="231"/>
    </row>
    <row r="439" spans="1:14" ht="15.6" customHeight="1" x14ac:dyDescent="0.3">
      <c r="A439" s="215"/>
      <c r="B439" s="215"/>
      <c r="C439" s="215"/>
      <c r="D439" s="215"/>
      <c r="E439" s="215"/>
      <c r="F439" s="215"/>
      <c r="G439" s="215"/>
      <c r="H439" s="215"/>
      <c r="I439" s="215"/>
      <c r="K439" s="231"/>
      <c r="L439" s="231"/>
      <c r="M439" s="231"/>
      <c r="N439" s="231"/>
    </row>
    <row r="440" spans="1:14" ht="15.6" customHeight="1" x14ac:dyDescent="0.3">
      <c r="A440" s="215"/>
      <c r="B440" s="215"/>
      <c r="C440" s="215"/>
      <c r="D440" s="215"/>
      <c r="E440" s="215"/>
      <c r="F440" s="215"/>
      <c r="G440" s="215"/>
      <c r="H440" s="215"/>
      <c r="I440" s="215"/>
      <c r="K440" s="231"/>
      <c r="L440" s="231"/>
      <c r="M440" s="231"/>
      <c r="N440" s="231"/>
    </row>
    <row r="441" spans="1:14" ht="15.6" customHeight="1" x14ac:dyDescent="0.3">
      <c r="A441" s="215"/>
      <c r="B441" s="215"/>
      <c r="C441" s="215"/>
      <c r="D441" s="215"/>
      <c r="E441" s="215"/>
      <c r="F441" s="215"/>
      <c r="G441" s="215"/>
      <c r="H441" s="215"/>
      <c r="I441" s="215"/>
      <c r="K441" s="231"/>
      <c r="L441" s="231"/>
      <c r="M441" s="231"/>
      <c r="N441" s="231"/>
    </row>
    <row r="442" spans="1:14" ht="15.6" customHeight="1" x14ac:dyDescent="0.3">
      <c r="A442" s="215"/>
      <c r="B442" s="215"/>
      <c r="C442" s="215"/>
      <c r="D442" s="215"/>
      <c r="E442" s="215"/>
      <c r="F442" s="215"/>
      <c r="G442" s="215"/>
      <c r="H442" s="215"/>
      <c r="I442" s="215"/>
      <c r="K442" s="231"/>
      <c r="L442" s="231"/>
      <c r="M442" s="231"/>
      <c r="N442" s="231"/>
    </row>
    <row r="443" spans="1:14" ht="15.6" customHeight="1" x14ac:dyDescent="0.3">
      <c r="A443" s="215"/>
      <c r="B443" s="215"/>
      <c r="C443" s="215"/>
      <c r="D443" s="215"/>
      <c r="E443" s="215"/>
      <c r="F443" s="215"/>
      <c r="G443" s="215"/>
      <c r="H443" s="215"/>
      <c r="I443" s="215"/>
      <c r="K443" s="231"/>
      <c r="L443" s="231"/>
      <c r="M443" s="231"/>
      <c r="N443" s="231"/>
    </row>
    <row r="444" spans="1:14" ht="15.6" customHeight="1" x14ac:dyDescent="0.3">
      <c r="A444" s="215"/>
      <c r="B444" s="215"/>
      <c r="C444" s="215"/>
      <c r="D444" s="215"/>
      <c r="E444" s="215"/>
      <c r="F444" s="215"/>
      <c r="G444" s="215"/>
      <c r="H444" s="215"/>
      <c r="I444" s="215"/>
      <c r="K444" s="231"/>
      <c r="L444" s="231"/>
      <c r="M444" s="231"/>
      <c r="N444" s="231"/>
    </row>
    <row r="445" spans="1:14" ht="15.6" customHeight="1" x14ac:dyDescent="0.3">
      <c r="A445" s="215"/>
      <c r="B445" s="215"/>
      <c r="C445" s="215"/>
      <c r="D445" s="215"/>
      <c r="E445" s="215"/>
      <c r="F445" s="215"/>
      <c r="G445" s="215"/>
      <c r="H445" s="215"/>
      <c r="I445" s="215"/>
      <c r="K445" s="231"/>
      <c r="L445" s="231"/>
      <c r="M445" s="231"/>
      <c r="N445" s="231"/>
    </row>
    <row r="446" spans="1:14" ht="15.6" customHeight="1" x14ac:dyDescent="0.3">
      <c r="A446" s="215"/>
      <c r="B446" s="215"/>
      <c r="C446" s="215"/>
      <c r="D446" s="215"/>
      <c r="E446" s="215"/>
      <c r="F446" s="215"/>
      <c r="G446" s="215"/>
      <c r="H446" s="215"/>
      <c r="I446" s="215"/>
      <c r="K446" s="231"/>
      <c r="L446" s="231"/>
      <c r="M446" s="231"/>
      <c r="N446" s="231"/>
    </row>
    <row r="447" spans="1:14" ht="15.6" customHeight="1" x14ac:dyDescent="0.3">
      <c r="A447" s="215"/>
      <c r="B447" s="215"/>
      <c r="C447" s="215"/>
      <c r="D447" s="215"/>
      <c r="E447" s="215"/>
      <c r="F447" s="215"/>
      <c r="G447" s="215"/>
      <c r="H447" s="215"/>
      <c r="I447" s="215"/>
      <c r="K447" s="231"/>
      <c r="L447" s="231"/>
      <c r="M447" s="231"/>
      <c r="N447" s="231"/>
    </row>
    <row r="448" spans="1:14" ht="15.6" customHeight="1" x14ac:dyDescent="0.3">
      <c r="A448" s="215"/>
      <c r="B448" s="215"/>
      <c r="C448" s="215"/>
      <c r="D448" s="215"/>
      <c r="E448" s="215"/>
      <c r="F448" s="215"/>
      <c r="G448" s="215"/>
      <c r="H448" s="215"/>
      <c r="I448" s="215"/>
      <c r="K448" s="231"/>
      <c r="L448" s="231"/>
      <c r="M448" s="231"/>
      <c r="N448" s="231"/>
    </row>
    <row r="449" spans="1:14" ht="15.6" customHeight="1" x14ac:dyDescent="0.3">
      <c r="A449" s="215"/>
      <c r="B449" s="215"/>
      <c r="C449" s="215"/>
      <c r="D449" s="215"/>
      <c r="E449" s="215"/>
      <c r="F449" s="215"/>
      <c r="G449" s="215"/>
      <c r="H449" s="215"/>
      <c r="I449" s="215"/>
      <c r="K449" s="231"/>
      <c r="L449" s="231"/>
      <c r="M449" s="231"/>
      <c r="N449" s="231"/>
    </row>
    <row r="450" spans="1:14" ht="15.6" customHeight="1" x14ac:dyDescent="0.3">
      <c r="A450" s="215"/>
      <c r="B450" s="215"/>
      <c r="C450" s="215"/>
      <c r="D450" s="215"/>
      <c r="E450" s="215"/>
      <c r="F450" s="215"/>
      <c r="G450" s="215"/>
      <c r="H450" s="215"/>
      <c r="I450" s="215"/>
      <c r="K450" s="231"/>
      <c r="L450" s="231"/>
      <c r="M450" s="231"/>
      <c r="N450" s="231"/>
    </row>
    <row r="451" spans="1:14" ht="15.6" customHeight="1" x14ac:dyDescent="0.3">
      <c r="A451" s="215"/>
      <c r="B451" s="215"/>
      <c r="C451" s="215"/>
      <c r="D451" s="215"/>
      <c r="E451" s="215"/>
      <c r="F451" s="215"/>
      <c r="G451" s="215"/>
      <c r="H451" s="215"/>
      <c r="I451" s="215"/>
      <c r="K451" s="231"/>
      <c r="L451" s="231"/>
      <c r="M451" s="231"/>
      <c r="N451" s="231"/>
    </row>
    <row r="452" spans="1:14" ht="15.6" customHeight="1" x14ac:dyDescent="0.3">
      <c r="A452" s="215"/>
      <c r="B452" s="215"/>
      <c r="C452" s="215"/>
      <c r="D452" s="215"/>
      <c r="E452" s="215"/>
      <c r="F452" s="215"/>
      <c r="G452" s="215"/>
      <c r="H452" s="215"/>
      <c r="I452" s="215"/>
      <c r="K452" s="231"/>
      <c r="L452" s="231"/>
      <c r="M452" s="231"/>
      <c r="N452" s="231"/>
    </row>
    <row r="453" spans="1:14" ht="15.6" customHeight="1" x14ac:dyDescent="0.3">
      <c r="A453" s="215"/>
      <c r="B453" s="215"/>
      <c r="C453" s="215"/>
      <c r="D453" s="215"/>
      <c r="E453" s="215"/>
      <c r="F453" s="215"/>
      <c r="G453" s="215"/>
      <c r="H453" s="215"/>
      <c r="I453" s="215"/>
      <c r="K453" s="231"/>
      <c r="L453" s="231"/>
      <c r="M453" s="231"/>
      <c r="N453" s="231"/>
    </row>
    <row r="454" spans="1:14" ht="15.6" customHeight="1" x14ac:dyDescent="0.3">
      <c r="A454" s="215"/>
      <c r="B454" s="215"/>
      <c r="C454" s="215"/>
      <c r="D454" s="215"/>
      <c r="E454" s="215"/>
      <c r="F454" s="215"/>
      <c r="G454" s="215"/>
      <c r="H454" s="215"/>
      <c r="I454" s="215"/>
      <c r="K454" s="231"/>
      <c r="L454" s="231"/>
      <c r="M454" s="231"/>
      <c r="N454" s="231"/>
    </row>
    <row r="455" spans="1:14" ht="15.6" customHeight="1" x14ac:dyDescent="0.3">
      <c r="A455" s="215"/>
      <c r="B455" s="215"/>
      <c r="C455" s="215"/>
      <c r="D455" s="215"/>
      <c r="E455" s="215"/>
      <c r="F455" s="215"/>
      <c r="G455" s="215"/>
      <c r="H455" s="215"/>
      <c r="I455" s="215"/>
      <c r="K455" s="231"/>
      <c r="L455" s="231"/>
      <c r="M455" s="231"/>
      <c r="N455" s="231"/>
    </row>
    <row r="456" spans="1:14" ht="15.6" customHeight="1" x14ac:dyDescent="0.3">
      <c r="A456" s="215"/>
      <c r="B456" s="215"/>
      <c r="C456" s="215"/>
      <c r="D456" s="215"/>
      <c r="E456" s="215"/>
      <c r="F456" s="215"/>
      <c r="G456" s="215"/>
      <c r="H456" s="215"/>
      <c r="I456" s="215"/>
      <c r="K456" s="231"/>
      <c r="L456" s="231"/>
      <c r="M456" s="231"/>
      <c r="N456" s="231"/>
    </row>
    <row r="457" spans="1:14" ht="15.6" customHeight="1" x14ac:dyDescent="0.3">
      <c r="A457" s="215"/>
      <c r="B457" s="215"/>
      <c r="C457" s="215"/>
      <c r="D457" s="215"/>
      <c r="E457" s="215"/>
      <c r="F457" s="215"/>
      <c r="G457" s="215"/>
      <c r="H457" s="215"/>
      <c r="I457" s="215"/>
      <c r="K457" s="231"/>
      <c r="L457" s="231"/>
      <c r="M457" s="231"/>
      <c r="N457" s="231"/>
    </row>
    <row r="458" spans="1:14" ht="15.6" customHeight="1" x14ac:dyDescent="0.3">
      <c r="A458" s="215"/>
      <c r="B458" s="215"/>
      <c r="C458" s="215"/>
      <c r="D458" s="215"/>
      <c r="E458" s="215"/>
      <c r="F458" s="215"/>
      <c r="G458" s="215"/>
      <c r="H458" s="215"/>
      <c r="I458" s="215"/>
      <c r="K458" s="231"/>
      <c r="L458" s="231"/>
      <c r="M458" s="231"/>
      <c r="N458" s="231"/>
    </row>
    <row r="459" spans="1:14" ht="15.6" customHeight="1" x14ac:dyDescent="0.3">
      <c r="A459" s="215"/>
      <c r="B459" s="215"/>
      <c r="C459" s="215"/>
      <c r="D459" s="215"/>
      <c r="E459" s="215"/>
      <c r="F459" s="215"/>
      <c r="G459" s="215"/>
      <c r="H459" s="215"/>
      <c r="I459" s="215"/>
      <c r="K459" s="231"/>
      <c r="L459" s="231"/>
      <c r="M459" s="231"/>
      <c r="N459" s="231"/>
    </row>
    <row r="460" spans="1:14" ht="15.6" customHeight="1" x14ac:dyDescent="0.3">
      <c r="A460" s="215"/>
      <c r="B460" s="215"/>
      <c r="C460" s="215"/>
      <c r="D460" s="215"/>
      <c r="E460" s="215"/>
      <c r="F460" s="215"/>
      <c r="G460" s="215"/>
      <c r="H460" s="215"/>
      <c r="I460" s="215"/>
      <c r="K460" s="231"/>
      <c r="L460" s="231"/>
      <c r="M460" s="231"/>
      <c r="N460" s="231"/>
    </row>
    <row r="461" spans="1:14" ht="15.6" customHeight="1" x14ac:dyDescent="0.3">
      <c r="A461" s="215"/>
      <c r="B461" s="215"/>
      <c r="C461" s="215"/>
      <c r="D461" s="215"/>
      <c r="E461" s="215"/>
      <c r="F461" s="215"/>
      <c r="G461" s="215"/>
      <c r="H461" s="215"/>
      <c r="I461" s="215"/>
      <c r="K461" s="231"/>
      <c r="L461" s="231"/>
      <c r="M461" s="231"/>
      <c r="N461" s="231"/>
    </row>
    <row r="462" spans="1:14" ht="15.6" customHeight="1" x14ac:dyDescent="0.3">
      <c r="A462" s="215"/>
      <c r="B462" s="215"/>
      <c r="C462" s="215"/>
      <c r="D462" s="215"/>
      <c r="E462" s="215"/>
      <c r="F462" s="215"/>
      <c r="G462" s="215"/>
      <c r="H462" s="215"/>
      <c r="I462" s="215"/>
      <c r="K462" s="231"/>
      <c r="L462" s="231"/>
      <c r="M462" s="231"/>
      <c r="N462" s="231"/>
    </row>
    <row r="463" spans="1:14" ht="15.6" customHeight="1" x14ac:dyDescent="0.3">
      <c r="A463" s="215"/>
      <c r="B463" s="215"/>
      <c r="C463" s="215"/>
      <c r="D463" s="215"/>
      <c r="E463" s="215"/>
      <c r="F463" s="215"/>
      <c r="G463" s="215"/>
      <c r="H463" s="215"/>
      <c r="I463" s="215"/>
      <c r="K463" s="231"/>
      <c r="L463" s="231"/>
      <c r="M463" s="231"/>
      <c r="N463" s="231"/>
    </row>
    <row r="464" spans="1:14" ht="15.6" customHeight="1" x14ac:dyDescent="0.3">
      <c r="A464" s="215"/>
      <c r="B464" s="215"/>
      <c r="C464" s="215"/>
      <c r="D464" s="215"/>
      <c r="E464" s="215"/>
      <c r="F464" s="215"/>
      <c r="G464" s="215"/>
      <c r="H464" s="215"/>
      <c r="I464" s="215"/>
      <c r="K464" s="231"/>
      <c r="L464" s="231"/>
      <c r="M464" s="231"/>
      <c r="N464" s="231"/>
    </row>
    <row r="465" spans="1:14" ht="15.6" customHeight="1" x14ac:dyDescent="0.3">
      <c r="A465" s="215"/>
      <c r="B465" s="215"/>
      <c r="C465" s="215"/>
      <c r="D465" s="215"/>
      <c r="E465" s="215"/>
      <c r="F465" s="215"/>
      <c r="G465" s="215"/>
      <c r="H465" s="215"/>
      <c r="I465" s="215"/>
      <c r="K465" s="231"/>
      <c r="L465" s="231"/>
      <c r="M465" s="231"/>
      <c r="N465" s="231"/>
    </row>
    <row r="466" spans="1:14" ht="15.6" customHeight="1" x14ac:dyDescent="0.3">
      <c r="A466" s="215"/>
      <c r="B466" s="215"/>
      <c r="C466" s="215"/>
      <c r="D466" s="215"/>
      <c r="E466" s="215"/>
      <c r="F466" s="215"/>
      <c r="G466" s="215"/>
      <c r="H466" s="215"/>
      <c r="I466" s="215"/>
      <c r="K466" s="231"/>
      <c r="L466" s="231"/>
      <c r="M466" s="231"/>
      <c r="N466" s="231"/>
    </row>
    <row r="467" spans="1:14" ht="15.6" customHeight="1" x14ac:dyDescent="0.3">
      <c r="A467" s="215"/>
      <c r="B467" s="215"/>
      <c r="C467" s="215"/>
      <c r="D467" s="215"/>
      <c r="E467" s="215"/>
      <c r="F467" s="215"/>
      <c r="G467" s="215"/>
      <c r="H467" s="215"/>
      <c r="I467" s="215"/>
      <c r="K467" s="231"/>
      <c r="L467" s="231"/>
      <c r="M467" s="231"/>
      <c r="N467" s="231"/>
    </row>
    <row r="468" spans="1:14" ht="15.6" customHeight="1" x14ac:dyDescent="0.3">
      <c r="A468" s="215"/>
      <c r="B468" s="215"/>
      <c r="C468" s="215"/>
      <c r="D468" s="215"/>
      <c r="E468" s="215"/>
      <c r="F468" s="215"/>
      <c r="G468" s="215"/>
      <c r="H468" s="215"/>
      <c r="I468" s="215"/>
      <c r="K468" s="231"/>
      <c r="L468" s="231"/>
      <c r="M468" s="231"/>
      <c r="N468" s="231"/>
    </row>
    <row r="469" spans="1:14" ht="15.6" customHeight="1" x14ac:dyDescent="0.3">
      <c r="A469" s="215"/>
      <c r="B469" s="215"/>
      <c r="C469" s="215"/>
      <c r="D469" s="215"/>
      <c r="E469" s="215"/>
      <c r="F469" s="215"/>
      <c r="G469" s="215"/>
      <c r="H469" s="215"/>
      <c r="I469" s="215"/>
      <c r="K469" s="231"/>
      <c r="L469" s="231"/>
      <c r="M469" s="231"/>
      <c r="N469" s="231"/>
    </row>
    <row r="470" spans="1:14" ht="15.6" customHeight="1" x14ac:dyDescent="0.3">
      <c r="A470" s="215"/>
      <c r="B470" s="215"/>
      <c r="C470" s="215"/>
      <c r="D470" s="215"/>
      <c r="E470" s="215"/>
      <c r="F470" s="215"/>
      <c r="G470" s="215"/>
      <c r="H470" s="215"/>
      <c r="I470" s="215"/>
      <c r="K470" s="231"/>
      <c r="L470" s="231"/>
      <c r="M470" s="231"/>
      <c r="N470" s="231"/>
    </row>
    <row r="471" spans="1:14" ht="15.6" customHeight="1" x14ac:dyDescent="0.3">
      <c r="A471" s="215"/>
      <c r="B471" s="215"/>
      <c r="C471" s="215"/>
      <c r="D471" s="215"/>
      <c r="E471" s="215"/>
      <c r="F471" s="215"/>
      <c r="G471" s="215"/>
      <c r="H471" s="215"/>
      <c r="I471" s="215"/>
      <c r="K471" s="231"/>
      <c r="L471" s="231"/>
      <c r="M471" s="231"/>
      <c r="N471" s="231"/>
    </row>
    <row r="472" spans="1:14" ht="15.6" customHeight="1" x14ac:dyDescent="0.3">
      <c r="A472" s="215"/>
      <c r="B472" s="215"/>
      <c r="C472" s="215"/>
      <c r="D472" s="215"/>
      <c r="E472" s="215"/>
      <c r="F472" s="215"/>
      <c r="G472" s="215"/>
      <c r="H472" s="215"/>
      <c r="I472" s="215"/>
      <c r="K472" s="231"/>
      <c r="L472" s="231"/>
      <c r="M472" s="231"/>
      <c r="N472" s="231"/>
    </row>
    <row r="473" spans="1:14" ht="15.6" customHeight="1" x14ac:dyDescent="0.3">
      <c r="A473" s="215"/>
      <c r="B473" s="215"/>
      <c r="C473" s="215"/>
      <c r="D473" s="215"/>
      <c r="E473" s="215"/>
      <c r="F473" s="215"/>
      <c r="G473" s="215"/>
      <c r="H473" s="215"/>
      <c r="I473" s="215"/>
      <c r="K473" s="231"/>
      <c r="L473" s="231"/>
      <c r="M473" s="231"/>
      <c r="N473" s="231"/>
    </row>
    <row r="474" spans="1:14" ht="15.6" customHeight="1" x14ac:dyDescent="0.3">
      <c r="A474" s="215"/>
      <c r="B474" s="215"/>
      <c r="C474" s="215"/>
      <c r="D474" s="215"/>
      <c r="E474" s="215"/>
      <c r="F474" s="215"/>
      <c r="G474" s="215"/>
      <c r="H474" s="215"/>
      <c r="I474" s="215"/>
      <c r="K474" s="231"/>
      <c r="L474" s="231"/>
      <c r="M474" s="231"/>
      <c r="N474" s="231"/>
    </row>
    <row r="475" spans="1:14" ht="15.6" customHeight="1" x14ac:dyDescent="0.3">
      <c r="A475" s="215"/>
      <c r="B475" s="215"/>
      <c r="C475" s="215"/>
      <c r="D475" s="215"/>
      <c r="E475" s="215"/>
      <c r="F475" s="215"/>
      <c r="G475" s="215"/>
      <c r="H475" s="215"/>
      <c r="I475" s="215"/>
      <c r="K475" s="231"/>
      <c r="L475" s="231"/>
      <c r="M475" s="231"/>
      <c r="N475" s="231"/>
    </row>
    <row r="476" spans="1:14" ht="15.6" customHeight="1" x14ac:dyDescent="0.3">
      <c r="A476" s="215"/>
      <c r="B476" s="215"/>
      <c r="C476" s="215"/>
      <c r="D476" s="215"/>
      <c r="E476" s="215"/>
      <c r="F476" s="215"/>
      <c r="G476" s="215"/>
      <c r="H476" s="215"/>
      <c r="I476" s="215"/>
      <c r="K476" s="231"/>
      <c r="L476" s="231"/>
      <c r="M476" s="231"/>
      <c r="N476" s="231"/>
    </row>
    <row r="477" spans="1:14" ht="15.6" customHeight="1" x14ac:dyDescent="0.3">
      <c r="A477" s="215"/>
      <c r="B477" s="215"/>
      <c r="C477" s="215"/>
      <c r="D477" s="215"/>
      <c r="E477" s="215"/>
      <c r="F477" s="215"/>
      <c r="G477" s="215"/>
      <c r="H477" s="215"/>
      <c r="I477" s="215"/>
      <c r="K477" s="231"/>
      <c r="L477" s="231"/>
      <c r="M477" s="231"/>
      <c r="N477" s="231"/>
    </row>
    <row r="478" spans="1:14" ht="15.6" customHeight="1" x14ac:dyDescent="0.3">
      <c r="A478" s="215"/>
      <c r="B478" s="215"/>
      <c r="C478" s="215"/>
      <c r="D478" s="215"/>
      <c r="E478" s="215"/>
      <c r="F478" s="215"/>
      <c r="G478" s="215"/>
      <c r="H478" s="215"/>
      <c r="I478" s="215"/>
      <c r="K478" s="231"/>
      <c r="L478" s="231"/>
      <c r="M478" s="231"/>
      <c r="N478" s="231"/>
    </row>
    <row r="479" spans="1:14" ht="15.6" customHeight="1" x14ac:dyDescent="0.3">
      <c r="A479" s="215"/>
      <c r="B479" s="215"/>
      <c r="C479" s="215"/>
      <c r="D479" s="215"/>
      <c r="E479" s="215"/>
      <c r="F479" s="215"/>
      <c r="G479" s="215"/>
      <c r="H479" s="215"/>
      <c r="I479" s="215"/>
      <c r="K479" s="231"/>
      <c r="L479" s="231"/>
      <c r="M479" s="231"/>
      <c r="N479" s="231"/>
    </row>
    <row r="480" spans="1:14" ht="15.6" customHeight="1" x14ac:dyDescent="0.3">
      <c r="A480" s="215"/>
      <c r="B480" s="215"/>
      <c r="C480" s="215"/>
      <c r="D480" s="215"/>
      <c r="E480" s="215"/>
      <c r="F480" s="215"/>
      <c r="G480" s="215"/>
      <c r="H480" s="215"/>
      <c r="I480" s="215"/>
      <c r="K480" s="231"/>
      <c r="L480" s="231"/>
      <c r="M480" s="231"/>
      <c r="N480" s="231"/>
    </row>
    <row r="481" spans="1:14" ht="15.6" customHeight="1" x14ac:dyDescent="0.3">
      <c r="A481" s="215"/>
      <c r="B481" s="215"/>
      <c r="C481" s="215"/>
      <c r="D481" s="215"/>
      <c r="E481" s="215"/>
      <c r="F481" s="215"/>
      <c r="G481" s="215"/>
      <c r="H481" s="215"/>
      <c r="I481" s="215"/>
      <c r="K481" s="231"/>
      <c r="L481" s="231"/>
      <c r="M481" s="231"/>
      <c r="N481" s="231"/>
    </row>
    <row r="482" spans="1:14" ht="15.6" customHeight="1" x14ac:dyDescent="0.3">
      <c r="A482" s="215"/>
      <c r="B482" s="215"/>
      <c r="C482" s="215"/>
      <c r="D482" s="215"/>
      <c r="E482" s="215"/>
      <c r="F482" s="215"/>
      <c r="G482" s="215"/>
      <c r="H482" s="215"/>
      <c r="I482" s="215"/>
      <c r="K482" s="231"/>
      <c r="L482" s="231"/>
      <c r="M482" s="231"/>
      <c r="N482" s="231"/>
    </row>
    <row r="483" spans="1:14" ht="15.6" customHeight="1" x14ac:dyDescent="0.3">
      <c r="A483" s="215"/>
      <c r="B483" s="215"/>
      <c r="C483" s="215"/>
      <c r="D483" s="215"/>
      <c r="E483" s="215"/>
      <c r="F483" s="215"/>
      <c r="G483" s="215"/>
      <c r="H483" s="215"/>
      <c r="I483" s="215"/>
      <c r="K483" s="231"/>
      <c r="L483" s="231"/>
      <c r="M483" s="231"/>
      <c r="N483" s="231"/>
    </row>
    <row r="484" spans="1:14" ht="15.6" customHeight="1" x14ac:dyDescent="0.3">
      <c r="A484" s="215"/>
      <c r="B484" s="215"/>
      <c r="C484" s="215"/>
      <c r="D484" s="215"/>
      <c r="E484" s="215"/>
      <c r="F484" s="215"/>
      <c r="G484" s="215"/>
      <c r="H484" s="215"/>
      <c r="I484" s="215"/>
      <c r="K484" s="231"/>
      <c r="L484" s="231"/>
      <c r="M484" s="231"/>
      <c r="N484" s="231"/>
    </row>
    <row r="485" spans="1:14" ht="15.6" customHeight="1" x14ac:dyDescent="0.3">
      <c r="A485" s="215"/>
      <c r="B485" s="215"/>
      <c r="C485" s="215"/>
      <c r="D485" s="215"/>
      <c r="E485" s="215"/>
      <c r="F485" s="215"/>
      <c r="G485" s="215"/>
      <c r="H485" s="215"/>
      <c r="I485" s="215"/>
      <c r="K485" s="231"/>
      <c r="L485" s="231"/>
      <c r="M485" s="231"/>
      <c r="N485" s="231"/>
    </row>
    <row r="486" spans="1:14" ht="15.6" customHeight="1" x14ac:dyDescent="0.3">
      <c r="A486" s="215"/>
      <c r="B486" s="215"/>
      <c r="C486" s="215"/>
      <c r="D486" s="215"/>
      <c r="E486" s="215"/>
      <c r="F486" s="215"/>
      <c r="G486" s="215"/>
      <c r="H486" s="215"/>
      <c r="I486" s="215"/>
      <c r="K486" s="231"/>
      <c r="L486" s="231"/>
      <c r="M486" s="231"/>
      <c r="N486" s="231"/>
    </row>
    <row r="487" spans="1:14" ht="15.6" customHeight="1" x14ac:dyDescent="0.3">
      <c r="A487" s="215"/>
      <c r="B487" s="215"/>
      <c r="C487" s="215"/>
      <c r="D487" s="215"/>
      <c r="E487" s="215"/>
      <c r="F487" s="215"/>
      <c r="G487" s="215"/>
      <c r="H487" s="215"/>
      <c r="I487" s="215"/>
      <c r="K487" s="231"/>
      <c r="L487" s="231"/>
      <c r="M487" s="231"/>
      <c r="N487" s="231"/>
    </row>
    <row r="488" spans="1:14" ht="15.6" customHeight="1" x14ac:dyDescent="0.3">
      <c r="A488" s="215"/>
      <c r="B488" s="215"/>
      <c r="C488" s="215"/>
      <c r="D488" s="215"/>
      <c r="E488" s="215"/>
      <c r="F488" s="215"/>
      <c r="G488" s="215"/>
      <c r="H488" s="215"/>
      <c r="I488" s="215"/>
      <c r="K488" s="231"/>
      <c r="L488" s="231"/>
      <c r="M488" s="231"/>
      <c r="N488" s="231"/>
    </row>
    <row r="489" spans="1:14" ht="15.6" customHeight="1" x14ac:dyDescent="0.3">
      <c r="A489" s="215"/>
      <c r="B489" s="215"/>
      <c r="C489" s="215"/>
      <c r="D489" s="215"/>
      <c r="E489" s="215"/>
      <c r="F489" s="215"/>
      <c r="G489" s="215"/>
      <c r="H489" s="215"/>
      <c r="I489" s="215"/>
      <c r="K489" s="231"/>
      <c r="L489" s="231"/>
      <c r="M489" s="231"/>
      <c r="N489" s="231"/>
    </row>
    <row r="490" spans="1:14" ht="15.6" customHeight="1" x14ac:dyDescent="0.3">
      <c r="A490" s="215"/>
      <c r="B490" s="215"/>
      <c r="C490" s="215"/>
      <c r="D490" s="215"/>
      <c r="E490" s="215"/>
      <c r="F490" s="215"/>
      <c r="G490" s="215"/>
      <c r="H490" s="215"/>
      <c r="I490" s="215"/>
      <c r="K490" s="231"/>
      <c r="L490" s="231"/>
      <c r="M490" s="231"/>
      <c r="N490" s="231"/>
    </row>
    <row r="491" spans="1:14" ht="15.6" customHeight="1" x14ac:dyDescent="0.3">
      <c r="A491" s="215"/>
      <c r="B491" s="215"/>
      <c r="C491" s="215"/>
      <c r="D491" s="215"/>
      <c r="E491" s="215"/>
      <c r="F491" s="215"/>
      <c r="G491" s="215"/>
      <c r="H491" s="215"/>
      <c r="I491" s="215"/>
      <c r="K491" s="231"/>
      <c r="L491" s="231"/>
      <c r="M491" s="231"/>
      <c r="N491" s="231"/>
    </row>
    <row r="492" spans="1:14" ht="15.6" customHeight="1" x14ac:dyDescent="0.3">
      <c r="A492" s="215"/>
      <c r="B492" s="215"/>
      <c r="C492" s="215"/>
      <c r="D492" s="215"/>
      <c r="E492" s="215"/>
      <c r="F492" s="215"/>
      <c r="G492" s="215"/>
      <c r="H492" s="215"/>
      <c r="I492" s="215"/>
      <c r="K492" s="231"/>
      <c r="L492" s="231"/>
      <c r="M492" s="231"/>
      <c r="N492" s="231"/>
    </row>
    <row r="493" spans="1:14" ht="15.6" customHeight="1" x14ac:dyDescent="0.3">
      <c r="A493" s="215"/>
      <c r="B493" s="215"/>
      <c r="C493" s="215"/>
      <c r="D493" s="215"/>
      <c r="E493" s="215"/>
      <c r="F493" s="215"/>
      <c r="G493" s="215"/>
      <c r="H493" s="215"/>
      <c r="I493" s="215"/>
      <c r="K493" s="231"/>
      <c r="L493" s="231"/>
      <c r="M493" s="231"/>
      <c r="N493" s="231"/>
    </row>
    <row r="494" spans="1:14" ht="15.6" customHeight="1" x14ac:dyDescent="0.3">
      <c r="A494" s="215"/>
      <c r="B494" s="215"/>
      <c r="C494" s="215"/>
      <c r="D494" s="215"/>
      <c r="E494" s="215"/>
      <c r="F494" s="215"/>
      <c r="G494" s="215"/>
      <c r="H494" s="215"/>
      <c r="I494" s="215"/>
      <c r="K494" s="231"/>
      <c r="L494" s="231"/>
      <c r="M494" s="231"/>
      <c r="N494" s="231"/>
    </row>
    <row r="495" spans="1:14" ht="15.6" customHeight="1" x14ac:dyDescent="0.3">
      <c r="A495" s="215"/>
      <c r="B495" s="215"/>
      <c r="C495" s="215"/>
      <c r="D495" s="215"/>
      <c r="E495" s="215"/>
      <c r="F495" s="215"/>
      <c r="G495" s="215"/>
      <c r="H495" s="215"/>
      <c r="I495" s="215"/>
      <c r="K495" s="231"/>
      <c r="L495" s="231"/>
      <c r="M495" s="231"/>
      <c r="N495" s="231"/>
    </row>
    <row r="496" spans="1:14" ht="15.6" customHeight="1" x14ac:dyDescent="0.3">
      <c r="A496" s="215"/>
      <c r="B496" s="215"/>
      <c r="C496" s="215"/>
      <c r="D496" s="215"/>
      <c r="E496" s="215"/>
      <c r="F496" s="215"/>
      <c r="G496" s="215"/>
      <c r="H496" s="215"/>
      <c r="I496" s="215"/>
      <c r="K496" s="231"/>
      <c r="L496" s="231"/>
      <c r="M496" s="231"/>
      <c r="N496" s="231"/>
    </row>
    <row r="497" spans="1:14" ht="15.6" customHeight="1" x14ac:dyDescent="0.3">
      <c r="A497" s="215"/>
      <c r="B497" s="215"/>
      <c r="C497" s="215"/>
      <c r="D497" s="215"/>
      <c r="E497" s="215"/>
      <c r="F497" s="215"/>
      <c r="G497" s="215"/>
      <c r="H497" s="215"/>
      <c r="I497" s="215"/>
      <c r="K497" s="231"/>
      <c r="L497" s="231"/>
      <c r="M497" s="231"/>
      <c r="N497" s="231"/>
    </row>
    <row r="498" spans="1:14" ht="15.6" customHeight="1" x14ac:dyDescent="0.3">
      <c r="A498" s="215"/>
      <c r="B498" s="215"/>
      <c r="C498" s="215"/>
      <c r="D498" s="215"/>
      <c r="E498" s="215"/>
      <c r="F498" s="215"/>
      <c r="G498" s="215"/>
      <c r="H498" s="215"/>
      <c r="I498" s="215"/>
      <c r="K498" s="231"/>
      <c r="L498" s="231"/>
      <c r="M498" s="231"/>
      <c r="N498" s="231"/>
    </row>
    <row r="499" spans="1:14" ht="15.6" customHeight="1" x14ac:dyDescent="0.3">
      <c r="A499" s="215"/>
      <c r="B499" s="215"/>
      <c r="C499" s="215"/>
      <c r="D499" s="215"/>
      <c r="E499" s="215"/>
      <c r="F499" s="215"/>
      <c r="G499" s="215"/>
      <c r="H499" s="215"/>
      <c r="I499" s="215"/>
      <c r="K499" s="231"/>
      <c r="L499" s="231"/>
      <c r="M499" s="231"/>
      <c r="N499" s="231"/>
    </row>
    <row r="500" spans="1:14" ht="15.6" customHeight="1" x14ac:dyDescent="0.3">
      <c r="A500" s="215"/>
      <c r="B500" s="215"/>
      <c r="C500" s="215"/>
      <c r="D500" s="215"/>
      <c r="E500" s="215"/>
      <c r="F500" s="215"/>
      <c r="G500" s="215"/>
      <c r="H500" s="215"/>
      <c r="I500" s="215"/>
      <c r="K500" s="231"/>
      <c r="L500" s="231"/>
      <c r="M500" s="231"/>
      <c r="N500" s="231"/>
    </row>
    <row r="501" spans="1:14" ht="15.6" customHeight="1" x14ac:dyDescent="0.3">
      <c r="A501" s="215"/>
      <c r="B501" s="215"/>
      <c r="C501" s="215"/>
      <c r="D501" s="215"/>
      <c r="E501" s="215"/>
      <c r="F501" s="215"/>
      <c r="G501" s="215"/>
      <c r="H501" s="215"/>
      <c r="I501" s="215"/>
      <c r="K501" s="231"/>
      <c r="L501" s="231"/>
      <c r="M501" s="231"/>
      <c r="N501" s="231"/>
    </row>
    <row r="502" spans="1:14" ht="15.6" customHeight="1" x14ac:dyDescent="0.3">
      <c r="A502" s="215"/>
      <c r="B502" s="215"/>
      <c r="C502" s="215"/>
      <c r="D502" s="215"/>
      <c r="E502" s="215"/>
      <c r="F502" s="215"/>
      <c r="G502" s="215"/>
      <c r="H502" s="215"/>
      <c r="I502" s="215"/>
      <c r="K502" s="231"/>
      <c r="L502" s="231"/>
      <c r="M502" s="231"/>
      <c r="N502" s="231"/>
    </row>
    <row r="503" spans="1:14" ht="15.6" customHeight="1" x14ac:dyDescent="0.3">
      <c r="A503" s="215"/>
      <c r="B503" s="215"/>
      <c r="C503" s="215"/>
      <c r="D503" s="215"/>
      <c r="E503" s="215"/>
      <c r="F503" s="215"/>
      <c r="G503" s="215"/>
      <c r="H503" s="215"/>
      <c r="I503" s="215"/>
      <c r="K503" s="231"/>
      <c r="L503" s="231"/>
      <c r="M503" s="231"/>
      <c r="N503" s="231"/>
    </row>
    <row r="504" spans="1:14" ht="15.6" customHeight="1" x14ac:dyDescent="0.3">
      <c r="A504" s="215"/>
      <c r="B504" s="215"/>
      <c r="C504" s="215"/>
      <c r="D504" s="215"/>
      <c r="E504" s="215"/>
      <c r="F504" s="215"/>
      <c r="G504" s="215"/>
      <c r="H504" s="215"/>
      <c r="I504" s="215"/>
      <c r="K504" s="231"/>
      <c r="L504" s="231"/>
      <c r="M504" s="231"/>
      <c r="N504" s="231"/>
    </row>
    <row r="505" spans="1:14" ht="15.6" customHeight="1" x14ac:dyDescent="0.3">
      <c r="A505" s="215"/>
      <c r="B505" s="215"/>
      <c r="C505" s="215"/>
      <c r="D505" s="215"/>
      <c r="E505" s="215"/>
      <c r="F505" s="215"/>
      <c r="G505" s="215"/>
      <c r="H505" s="215"/>
      <c r="I505" s="215"/>
      <c r="K505" s="231"/>
      <c r="L505" s="231"/>
      <c r="M505" s="231"/>
      <c r="N505" s="231"/>
    </row>
    <row r="506" spans="1:14" ht="15.6" customHeight="1" x14ac:dyDescent="0.3">
      <c r="A506" s="215"/>
      <c r="B506" s="215"/>
      <c r="C506" s="215"/>
      <c r="D506" s="215"/>
      <c r="E506" s="215"/>
      <c r="F506" s="215"/>
      <c r="G506" s="215"/>
      <c r="H506" s="215"/>
      <c r="I506" s="215"/>
      <c r="K506" s="231"/>
      <c r="L506" s="231"/>
      <c r="M506" s="231"/>
      <c r="N506" s="231"/>
    </row>
    <row r="507" spans="1:14" ht="15.6" customHeight="1" x14ac:dyDescent="0.3">
      <c r="A507" s="215"/>
      <c r="B507" s="215"/>
      <c r="C507" s="215"/>
      <c r="D507" s="215"/>
      <c r="E507" s="215"/>
      <c r="F507" s="215"/>
      <c r="G507" s="215"/>
      <c r="H507" s="215"/>
      <c r="I507" s="215"/>
      <c r="K507" s="231"/>
      <c r="L507" s="231"/>
      <c r="M507" s="231"/>
      <c r="N507" s="231"/>
    </row>
    <row r="508" spans="1:14" ht="15.6" customHeight="1" x14ac:dyDescent="0.3">
      <c r="A508" s="215"/>
      <c r="B508" s="215"/>
      <c r="C508" s="215"/>
      <c r="D508" s="215"/>
      <c r="E508" s="215"/>
      <c r="F508" s="215"/>
      <c r="G508" s="215"/>
      <c r="H508" s="215"/>
      <c r="I508" s="215"/>
      <c r="K508" s="231"/>
      <c r="L508" s="231"/>
      <c r="M508" s="231"/>
      <c r="N508" s="231"/>
    </row>
    <row r="509" spans="1:14" ht="15.6" customHeight="1" x14ac:dyDescent="0.3">
      <c r="A509" s="215"/>
      <c r="B509" s="215"/>
      <c r="C509" s="215"/>
      <c r="D509" s="215"/>
      <c r="E509" s="215"/>
      <c r="F509" s="215"/>
      <c r="G509" s="215"/>
      <c r="H509" s="215"/>
      <c r="I509" s="215"/>
      <c r="K509" s="231"/>
      <c r="L509" s="231"/>
      <c r="M509" s="231"/>
      <c r="N509" s="231"/>
    </row>
    <row r="510" spans="1:14" ht="15.6" customHeight="1" x14ac:dyDescent="0.3">
      <c r="A510" s="215"/>
      <c r="B510" s="215"/>
      <c r="C510" s="215"/>
      <c r="D510" s="215"/>
      <c r="E510" s="215"/>
      <c r="F510" s="215"/>
      <c r="G510" s="215"/>
      <c r="H510" s="215"/>
      <c r="I510" s="215"/>
      <c r="K510" s="231"/>
      <c r="L510" s="231"/>
      <c r="M510" s="231"/>
      <c r="N510" s="231"/>
    </row>
    <row r="511" spans="1:14" ht="15.6" customHeight="1" x14ac:dyDescent="0.3">
      <c r="A511" s="215"/>
      <c r="B511" s="215"/>
      <c r="C511" s="215"/>
      <c r="D511" s="215"/>
      <c r="E511" s="215"/>
      <c r="F511" s="215"/>
      <c r="G511" s="215"/>
      <c r="H511" s="215"/>
      <c r="I511" s="215"/>
      <c r="K511" s="277"/>
      <c r="L511" s="277"/>
      <c r="M511" s="277"/>
      <c r="N511" s="277"/>
    </row>
    <row r="512" spans="1:14" ht="15.6" customHeight="1" x14ac:dyDescent="0.3">
      <c r="A512" s="215"/>
      <c r="B512" s="215"/>
      <c r="C512" s="215"/>
      <c r="D512" s="215"/>
      <c r="E512" s="215"/>
      <c r="F512" s="215"/>
      <c r="G512" s="215"/>
      <c r="H512" s="215"/>
      <c r="I512" s="215"/>
      <c r="K512" s="277"/>
      <c r="L512" s="277"/>
      <c r="M512" s="277"/>
      <c r="N512" s="277"/>
    </row>
    <row r="513" spans="1:14" ht="15.6" customHeight="1" x14ac:dyDescent="0.3">
      <c r="A513" s="215"/>
      <c r="B513" s="215"/>
      <c r="C513" s="215"/>
      <c r="D513" s="215"/>
      <c r="E513" s="215"/>
      <c r="F513" s="215"/>
      <c r="G513" s="215"/>
      <c r="H513" s="215"/>
      <c r="I513" s="215"/>
      <c r="K513" s="277"/>
      <c r="L513" s="277"/>
      <c r="M513" s="277"/>
      <c r="N513" s="277"/>
    </row>
    <row r="514" spans="1:14" ht="15.6" customHeight="1" x14ac:dyDescent="0.3">
      <c r="A514" s="215"/>
      <c r="B514" s="215"/>
      <c r="C514" s="215"/>
      <c r="D514" s="215"/>
      <c r="E514" s="215"/>
      <c r="F514" s="215"/>
      <c r="G514" s="215"/>
      <c r="H514" s="215"/>
      <c r="I514" s="215"/>
      <c r="K514" s="277"/>
      <c r="L514" s="277"/>
      <c r="M514" s="277"/>
      <c r="N514" s="277"/>
    </row>
    <row r="515" spans="1:14" ht="15.6" customHeight="1" x14ac:dyDescent="0.3">
      <c r="A515" s="215"/>
      <c r="B515" s="215"/>
      <c r="C515" s="215"/>
      <c r="D515" s="215"/>
      <c r="E515" s="215"/>
      <c r="F515" s="215"/>
      <c r="G515" s="215"/>
      <c r="H515" s="215"/>
      <c r="I515" s="215"/>
      <c r="K515" s="277"/>
      <c r="L515" s="277"/>
      <c r="M515" s="277"/>
      <c r="N515" s="277"/>
    </row>
    <row r="516" spans="1:14" ht="15.6" customHeight="1" x14ac:dyDescent="0.3">
      <c r="A516" s="215"/>
      <c r="B516" s="215"/>
      <c r="C516" s="215"/>
      <c r="D516" s="215"/>
      <c r="E516" s="215"/>
      <c r="F516" s="215"/>
      <c r="G516" s="215"/>
      <c r="H516" s="215"/>
      <c r="I516" s="215"/>
      <c r="K516" s="277"/>
      <c r="L516" s="277"/>
      <c r="M516" s="277"/>
      <c r="N516" s="277"/>
    </row>
    <row r="517" spans="1:14" ht="15.6" customHeight="1" x14ac:dyDescent="0.3">
      <c r="A517" s="215"/>
      <c r="B517" s="215"/>
      <c r="C517" s="215"/>
      <c r="D517" s="215"/>
      <c r="E517" s="215"/>
      <c r="F517" s="215"/>
      <c r="G517" s="215"/>
      <c r="H517" s="215"/>
      <c r="I517" s="215"/>
      <c r="K517" s="277"/>
      <c r="L517" s="277"/>
      <c r="M517" s="277"/>
      <c r="N517" s="277"/>
    </row>
    <row r="518" spans="1:14" ht="15.6" customHeight="1" x14ac:dyDescent="0.3">
      <c r="A518" s="215"/>
      <c r="B518" s="215"/>
      <c r="C518" s="215"/>
      <c r="D518" s="215"/>
      <c r="E518" s="215"/>
      <c r="F518" s="215"/>
      <c r="G518" s="215"/>
      <c r="H518" s="215"/>
      <c r="I518" s="215"/>
      <c r="K518" s="277"/>
      <c r="L518" s="277"/>
      <c r="M518" s="277"/>
      <c r="N518" s="277"/>
    </row>
    <row r="519" spans="1:14" ht="15.6" customHeight="1" x14ac:dyDescent="0.3">
      <c r="A519" s="215"/>
      <c r="B519" s="215"/>
      <c r="C519" s="215"/>
      <c r="D519" s="215"/>
      <c r="E519" s="215"/>
      <c r="F519" s="215"/>
      <c r="G519" s="215"/>
      <c r="H519" s="215"/>
      <c r="I519" s="215"/>
      <c r="K519" s="277"/>
      <c r="L519" s="277"/>
      <c r="M519" s="277"/>
      <c r="N519" s="277"/>
    </row>
    <row r="520" spans="1:14" ht="15.6" customHeight="1" x14ac:dyDescent="0.3">
      <c r="A520" s="215"/>
      <c r="B520" s="215"/>
      <c r="C520" s="215"/>
      <c r="D520" s="215"/>
      <c r="E520" s="215"/>
      <c r="F520" s="215"/>
      <c r="G520" s="215"/>
      <c r="H520" s="215"/>
      <c r="I520" s="215"/>
      <c r="K520" s="277"/>
      <c r="L520" s="277"/>
      <c r="M520" s="277"/>
      <c r="N520" s="277"/>
    </row>
    <row r="521" spans="1:14" ht="15.6" customHeight="1" x14ac:dyDescent="0.3">
      <c r="A521" s="215"/>
      <c r="B521" s="215"/>
      <c r="C521" s="215"/>
      <c r="D521" s="215"/>
      <c r="E521" s="215"/>
      <c r="F521" s="215"/>
      <c r="G521" s="215"/>
      <c r="H521" s="215"/>
      <c r="I521" s="215"/>
      <c r="K521" s="277"/>
      <c r="L521" s="277"/>
      <c r="M521" s="277"/>
      <c r="N521" s="277"/>
    </row>
    <row r="522" spans="1:14" ht="15.6" customHeight="1" x14ac:dyDescent="0.3">
      <c r="A522" s="215"/>
      <c r="B522" s="215"/>
      <c r="C522" s="215"/>
      <c r="D522" s="215"/>
      <c r="E522" s="215"/>
      <c r="F522" s="215"/>
      <c r="G522" s="215"/>
      <c r="H522" s="215"/>
      <c r="I522" s="215"/>
      <c r="K522" s="277"/>
      <c r="L522" s="277"/>
      <c r="M522" s="277"/>
      <c r="N522" s="277"/>
    </row>
    <row r="523" spans="1:14" ht="15.6" customHeight="1" x14ac:dyDescent="0.3">
      <c r="A523" s="215"/>
      <c r="B523" s="215"/>
      <c r="C523" s="215"/>
      <c r="D523" s="215"/>
      <c r="E523" s="215"/>
      <c r="F523" s="215"/>
      <c r="G523" s="215"/>
      <c r="H523" s="215"/>
      <c r="I523" s="215"/>
      <c r="K523" s="277"/>
      <c r="L523" s="277"/>
      <c r="M523" s="277"/>
      <c r="N523" s="277"/>
    </row>
    <row r="524" spans="1:14" ht="15.6" customHeight="1" x14ac:dyDescent="0.3">
      <c r="A524" s="215"/>
      <c r="B524" s="215"/>
      <c r="C524" s="215"/>
      <c r="D524" s="215"/>
      <c r="E524" s="215"/>
      <c r="F524" s="215"/>
      <c r="G524" s="215"/>
      <c r="H524" s="215"/>
      <c r="I524" s="215"/>
      <c r="K524" s="277"/>
      <c r="L524" s="277"/>
      <c r="M524" s="277"/>
      <c r="N524" s="277"/>
    </row>
    <row r="525" spans="1:14" ht="15.6" customHeight="1" x14ac:dyDescent="0.3">
      <c r="A525" s="215"/>
      <c r="B525" s="215"/>
      <c r="C525" s="215"/>
      <c r="D525" s="215"/>
      <c r="E525" s="215"/>
      <c r="F525" s="215"/>
      <c r="G525" s="215"/>
      <c r="H525" s="215"/>
      <c r="I525" s="215"/>
      <c r="K525" s="277"/>
      <c r="L525" s="277"/>
      <c r="M525" s="277"/>
      <c r="N525" s="277"/>
    </row>
    <row r="526" spans="1:14" ht="15.6" customHeight="1" x14ac:dyDescent="0.3">
      <c r="A526" s="215"/>
      <c r="B526" s="215"/>
      <c r="C526" s="215"/>
      <c r="D526" s="215"/>
      <c r="E526" s="215"/>
      <c r="F526" s="215"/>
      <c r="G526" s="215"/>
      <c r="H526" s="215"/>
      <c r="I526" s="215"/>
      <c r="K526" s="277"/>
      <c r="L526" s="277"/>
      <c r="M526" s="277"/>
      <c r="N526" s="277"/>
    </row>
    <row r="527" spans="1:14" ht="15.6" customHeight="1" x14ac:dyDescent="0.3">
      <c r="A527" s="215"/>
      <c r="B527" s="215"/>
      <c r="C527" s="215"/>
      <c r="D527" s="215"/>
      <c r="E527" s="215"/>
      <c r="F527" s="215"/>
      <c r="G527" s="215"/>
      <c r="H527" s="215"/>
      <c r="I527" s="215"/>
      <c r="K527" s="277"/>
      <c r="L527" s="277"/>
      <c r="M527" s="277"/>
      <c r="N527" s="277"/>
    </row>
    <row r="528" spans="1:14" ht="15.6" customHeight="1" x14ac:dyDescent="0.3">
      <c r="A528" s="215"/>
      <c r="B528" s="215"/>
      <c r="C528" s="215"/>
      <c r="D528" s="215"/>
      <c r="E528" s="215"/>
      <c r="F528" s="215"/>
      <c r="G528" s="215"/>
      <c r="H528" s="215"/>
      <c r="I528" s="215"/>
      <c r="K528" s="277"/>
      <c r="L528" s="277"/>
      <c r="M528" s="277"/>
      <c r="N528" s="277"/>
    </row>
    <row r="529" spans="1:14" ht="15.6" customHeight="1" x14ac:dyDescent="0.3">
      <c r="A529" s="215"/>
      <c r="B529" s="215"/>
      <c r="C529" s="215"/>
      <c r="D529" s="215"/>
      <c r="E529" s="215"/>
      <c r="F529" s="215"/>
      <c r="G529" s="215"/>
      <c r="H529" s="215"/>
      <c r="I529" s="215"/>
      <c r="K529" s="277"/>
      <c r="L529" s="277"/>
      <c r="M529" s="277"/>
      <c r="N529" s="277"/>
    </row>
    <row r="530" spans="1:14" ht="15.6" customHeight="1" x14ac:dyDescent="0.3">
      <c r="A530" s="215"/>
      <c r="B530" s="215"/>
      <c r="C530" s="215"/>
      <c r="D530" s="215"/>
      <c r="E530" s="215"/>
      <c r="F530" s="215"/>
      <c r="G530" s="215"/>
      <c r="H530" s="215"/>
      <c r="I530" s="215"/>
      <c r="K530" s="277"/>
      <c r="L530" s="277"/>
      <c r="M530" s="277"/>
      <c r="N530" s="277"/>
    </row>
    <row r="531" spans="1:14" ht="15.6" customHeight="1" x14ac:dyDescent="0.3">
      <c r="A531" s="215"/>
      <c r="B531" s="215"/>
      <c r="C531" s="215"/>
      <c r="D531" s="215"/>
      <c r="E531" s="215"/>
      <c r="F531" s="215"/>
      <c r="G531" s="215"/>
      <c r="H531" s="215"/>
      <c r="I531" s="215"/>
      <c r="K531" s="277"/>
      <c r="L531" s="277"/>
      <c r="M531" s="277"/>
      <c r="N531" s="277"/>
    </row>
    <row r="532" spans="1:14" ht="15.6" customHeight="1" x14ac:dyDescent="0.3">
      <c r="A532" s="215"/>
      <c r="B532" s="215"/>
      <c r="C532" s="215"/>
      <c r="D532" s="215"/>
      <c r="E532" s="215"/>
      <c r="F532" s="215"/>
      <c r="G532" s="215"/>
      <c r="H532" s="215"/>
      <c r="I532" s="215"/>
      <c r="K532" s="277"/>
      <c r="L532" s="277"/>
      <c r="M532" s="277"/>
      <c r="N532" s="277"/>
    </row>
    <row r="533" spans="1:14" ht="15.6" customHeight="1" x14ac:dyDescent="0.3">
      <c r="A533" s="215"/>
      <c r="B533" s="215"/>
      <c r="C533" s="215"/>
      <c r="D533" s="215"/>
      <c r="E533" s="215"/>
      <c r="F533" s="215"/>
      <c r="G533" s="215"/>
      <c r="H533" s="215"/>
      <c r="I533" s="215"/>
      <c r="K533" s="277"/>
      <c r="L533" s="277"/>
      <c r="M533" s="277"/>
      <c r="N533" s="277"/>
    </row>
    <row r="534" spans="1:14" ht="15.6" customHeight="1" x14ac:dyDescent="0.3">
      <c r="A534" s="215"/>
      <c r="B534" s="215"/>
      <c r="C534" s="215"/>
      <c r="D534" s="215"/>
      <c r="E534" s="215"/>
      <c r="F534" s="215"/>
      <c r="G534" s="215"/>
      <c r="H534" s="215"/>
      <c r="I534" s="215"/>
    </row>
    <row r="535" spans="1:14" ht="15.6" customHeight="1" x14ac:dyDescent="0.3">
      <c r="A535" s="215"/>
      <c r="B535" s="215"/>
      <c r="C535" s="215"/>
      <c r="D535" s="215"/>
      <c r="E535" s="215"/>
      <c r="F535" s="215"/>
      <c r="G535" s="215"/>
      <c r="H535" s="215"/>
      <c r="I535" s="215"/>
    </row>
    <row r="536" spans="1:14" ht="15.6" customHeight="1" x14ac:dyDescent="0.3">
      <c r="A536" s="215"/>
      <c r="B536" s="215"/>
      <c r="C536" s="215"/>
      <c r="D536" s="215"/>
      <c r="E536" s="215"/>
      <c r="F536" s="215"/>
      <c r="G536" s="215"/>
      <c r="H536" s="215"/>
      <c r="I536" s="215"/>
    </row>
    <row r="537" spans="1:14" ht="15.6" customHeight="1" x14ac:dyDescent="0.3">
      <c r="A537" s="215"/>
      <c r="B537" s="215"/>
      <c r="C537" s="215"/>
      <c r="D537" s="215"/>
      <c r="E537" s="215"/>
      <c r="F537" s="215"/>
      <c r="G537" s="215"/>
      <c r="H537" s="215"/>
      <c r="I537" s="215"/>
    </row>
    <row r="538" spans="1:14" ht="15.6" customHeight="1" x14ac:dyDescent="0.3">
      <c r="A538" s="215"/>
      <c r="B538" s="215"/>
      <c r="C538" s="215"/>
      <c r="D538" s="215"/>
      <c r="E538" s="215"/>
      <c r="F538" s="215"/>
      <c r="G538" s="215"/>
      <c r="H538" s="215"/>
      <c r="I538" s="215"/>
    </row>
    <row r="539" spans="1:14" ht="15.6" customHeight="1" x14ac:dyDescent="0.3">
      <c r="A539" s="215"/>
      <c r="B539" s="215"/>
      <c r="C539" s="215"/>
      <c r="D539" s="215"/>
      <c r="E539" s="215"/>
      <c r="F539" s="215"/>
      <c r="G539" s="215"/>
      <c r="H539" s="215"/>
      <c r="I539" s="215"/>
    </row>
    <row r="540" spans="1:14" ht="15.6" customHeight="1" x14ac:dyDescent="0.3">
      <c r="A540" s="215"/>
      <c r="B540" s="215"/>
      <c r="C540" s="215"/>
      <c r="D540" s="215"/>
      <c r="E540" s="215"/>
      <c r="F540" s="215"/>
      <c r="G540" s="215"/>
      <c r="H540" s="215"/>
      <c r="I540" s="215"/>
    </row>
    <row r="541" spans="1:14" ht="15.6" customHeight="1" x14ac:dyDescent="0.3">
      <c r="A541" s="215"/>
      <c r="B541" s="215"/>
      <c r="C541" s="215"/>
      <c r="D541" s="215"/>
      <c r="E541" s="215"/>
      <c r="F541" s="215"/>
      <c r="G541" s="215"/>
      <c r="H541" s="215"/>
      <c r="I541" s="215"/>
    </row>
    <row r="542" spans="1:14" ht="15.6" customHeight="1" x14ac:dyDescent="0.3">
      <c r="A542" s="215"/>
      <c r="B542" s="215"/>
      <c r="C542" s="215"/>
      <c r="D542" s="215"/>
      <c r="E542" s="215"/>
      <c r="F542" s="215"/>
      <c r="G542" s="215"/>
      <c r="H542" s="215"/>
      <c r="I542" s="215"/>
    </row>
    <row r="543" spans="1:14" ht="15.6" customHeight="1" x14ac:dyDescent="0.3">
      <c r="A543" s="215"/>
      <c r="B543" s="215"/>
      <c r="C543" s="215"/>
      <c r="D543" s="215"/>
      <c r="E543" s="215"/>
      <c r="F543" s="215"/>
      <c r="G543" s="215"/>
      <c r="H543" s="215"/>
      <c r="I543" s="215"/>
    </row>
    <row r="544" spans="1:14" ht="15.6" customHeight="1" x14ac:dyDescent="0.3">
      <c r="A544" s="215"/>
      <c r="B544" s="215"/>
      <c r="C544" s="215"/>
      <c r="D544" s="215"/>
      <c r="E544" s="215"/>
      <c r="F544" s="215"/>
      <c r="G544" s="215"/>
      <c r="H544" s="215"/>
      <c r="I544" s="215"/>
    </row>
    <row r="545" s="215" customFormat="1" ht="15.6" customHeight="1" x14ac:dyDescent="0.3"/>
    <row r="546" s="215" customFormat="1" ht="15.6" customHeight="1" x14ac:dyDescent="0.3"/>
    <row r="547" s="215" customFormat="1" x14ac:dyDescent="0.3"/>
    <row r="548" s="215" customFormat="1" x14ac:dyDescent="0.3"/>
    <row r="549" s="215" customFormat="1" x14ac:dyDescent="0.3"/>
    <row r="550" s="215" customFormat="1" x14ac:dyDescent="0.3"/>
    <row r="551" s="215" customFormat="1" x14ac:dyDescent="0.3"/>
    <row r="552" s="215" customFormat="1" x14ac:dyDescent="0.3"/>
    <row r="553" s="215" customFormat="1" x14ac:dyDescent="0.3"/>
    <row r="554" s="215" customFormat="1" x14ac:dyDescent="0.3"/>
    <row r="555" s="215" customFormat="1" x14ac:dyDescent="0.3"/>
    <row r="556" s="215" customFormat="1" x14ac:dyDescent="0.3"/>
    <row r="557" s="215" customFormat="1" x14ac:dyDescent="0.3"/>
    <row r="558" s="215" customFormat="1" x14ac:dyDescent="0.3"/>
    <row r="559" s="215" customFormat="1" x14ac:dyDescent="0.3"/>
    <row r="560" s="215" customFormat="1" x14ac:dyDescent="0.3"/>
    <row r="561" s="215" customFormat="1" x14ac:dyDescent="0.3"/>
    <row r="562" s="215" customFormat="1" x14ac:dyDescent="0.3"/>
    <row r="563" s="215" customFormat="1" x14ac:dyDescent="0.3"/>
    <row r="564" s="215" customFormat="1" x14ac:dyDescent="0.3"/>
    <row r="565" s="215" customFormat="1" x14ac:dyDescent="0.3"/>
    <row r="566" s="215" customFormat="1" x14ac:dyDescent="0.3"/>
    <row r="567" s="215" customFormat="1" x14ac:dyDescent="0.3"/>
    <row r="568" s="215" customFormat="1" x14ac:dyDescent="0.3"/>
    <row r="569" s="215" customFormat="1" x14ac:dyDescent="0.3"/>
    <row r="570" s="215" customFormat="1" x14ac:dyDescent="0.3"/>
    <row r="571" s="215" customFormat="1" x14ac:dyDescent="0.3"/>
    <row r="572" s="215" customFormat="1" x14ac:dyDescent="0.3"/>
    <row r="573" s="215" customFormat="1" x14ac:dyDescent="0.3"/>
    <row r="574" s="215" customFormat="1" x14ac:dyDescent="0.3"/>
    <row r="575" s="215" customFormat="1" x14ac:dyDescent="0.3"/>
    <row r="576" s="215" customFormat="1" x14ac:dyDescent="0.3"/>
    <row r="577" s="215" customFormat="1" x14ac:dyDescent="0.3"/>
    <row r="578" s="215" customFormat="1" x14ac:dyDescent="0.3"/>
    <row r="579" s="215" customFormat="1" x14ac:dyDescent="0.3"/>
    <row r="580" s="215" customFormat="1" x14ac:dyDescent="0.3"/>
    <row r="581" s="215" customFormat="1" x14ac:dyDescent="0.3"/>
    <row r="582" s="215" customFormat="1" x14ac:dyDescent="0.3"/>
    <row r="583" s="215" customFormat="1" x14ac:dyDescent="0.3"/>
    <row r="584" s="215" customFormat="1" x14ac:dyDescent="0.3"/>
    <row r="585" s="215" customFormat="1" x14ac:dyDescent="0.3"/>
    <row r="586" s="215" customFormat="1" x14ac:dyDescent="0.3"/>
    <row r="587" s="215" customFormat="1" x14ac:dyDescent="0.3"/>
    <row r="588" s="215" customFormat="1" x14ac:dyDescent="0.3"/>
    <row r="589" s="215" customFormat="1" x14ac:dyDescent="0.3"/>
    <row r="590" s="215" customFormat="1" x14ac:dyDescent="0.3"/>
    <row r="591" s="215" customFormat="1" x14ac:dyDescent="0.3"/>
    <row r="592" s="215" customFormat="1" x14ac:dyDescent="0.3"/>
    <row r="593" s="215" customFormat="1" x14ac:dyDescent="0.3"/>
    <row r="594" s="215" customFormat="1" x14ac:dyDescent="0.3"/>
    <row r="595" s="215" customFormat="1" x14ac:dyDescent="0.3"/>
    <row r="596" s="215" customFormat="1" x14ac:dyDescent="0.3"/>
    <row r="597" s="215" customFormat="1" x14ac:dyDescent="0.3"/>
    <row r="598" s="215" customFormat="1" x14ac:dyDescent="0.3"/>
    <row r="599" s="215" customFormat="1" x14ac:dyDescent="0.3"/>
    <row r="600" s="215" customFormat="1" x14ac:dyDescent="0.3"/>
    <row r="601" s="215" customFormat="1" x14ac:dyDescent="0.3"/>
    <row r="602" s="215" customFormat="1" x14ac:dyDescent="0.3"/>
    <row r="603" s="215" customFormat="1" x14ac:dyDescent="0.3"/>
    <row r="604" s="215" customFormat="1" x14ac:dyDescent="0.3"/>
    <row r="605" s="215" customFormat="1" x14ac:dyDescent="0.3"/>
    <row r="606" s="215" customFormat="1" x14ac:dyDescent="0.3"/>
    <row r="607" s="215" customFormat="1" x14ac:dyDescent="0.3"/>
    <row r="608" s="215" customFormat="1" x14ac:dyDescent="0.3"/>
    <row r="609" s="215" customFormat="1" x14ac:dyDescent="0.3"/>
    <row r="610" s="215" customFormat="1" x14ac:dyDescent="0.3"/>
    <row r="611" s="215" customFormat="1" x14ac:dyDescent="0.3"/>
    <row r="612" s="215" customFormat="1" x14ac:dyDescent="0.3"/>
    <row r="613" s="215" customFormat="1" x14ac:dyDescent="0.3"/>
    <row r="614" s="215" customFormat="1" x14ac:dyDescent="0.3"/>
    <row r="615" s="215" customFormat="1" x14ac:dyDescent="0.3"/>
    <row r="616" s="215" customFormat="1" x14ac:dyDescent="0.3"/>
    <row r="617" s="215" customFormat="1" x14ac:dyDescent="0.3"/>
    <row r="618" s="215" customFormat="1" x14ac:dyDescent="0.3"/>
    <row r="619" s="215" customFormat="1" x14ac:dyDescent="0.3"/>
    <row r="620" s="215" customFormat="1" x14ac:dyDescent="0.3"/>
    <row r="621" s="215" customFormat="1" x14ac:dyDescent="0.3"/>
    <row r="622" s="215" customFormat="1" x14ac:dyDescent="0.3"/>
    <row r="623" s="215" customFormat="1" x14ac:dyDescent="0.3"/>
    <row r="624" s="215" customFormat="1" x14ac:dyDescent="0.3"/>
    <row r="625" s="215" customFormat="1" x14ac:dyDescent="0.3"/>
    <row r="626" s="215" customFormat="1" x14ac:dyDescent="0.3"/>
    <row r="627" s="215" customFormat="1" x14ac:dyDescent="0.3"/>
    <row r="628" s="215" customFormat="1" x14ac:dyDescent="0.3"/>
    <row r="629" s="215" customFormat="1" x14ac:dyDescent="0.3"/>
    <row r="630" s="215" customFormat="1" x14ac:dyDescent="0.3"/>
    <row r="631" s="215" customFormat="1" x14ac:dyDescent="0.3"/>
    <row r="632" s="215" customFormat="1" x14ac:dyDescent="0.3"/>
    <row r="633" s="215" customFormat="1" x14ac:dyDescent="0.3"/>
    <row r="634" s="215" customFormat="1" x14ac:dyDescent="0.3"/>
    <row r="635" s="215" customFormat="1" x14ac:dyDescent="0.3"/>
    <row r="636" s="215" customFormat="1" x14ac:dyDescent="0.3"/>
    <row r="637" s="215" customFormat="1" x14ac:dyDescent="0.3"/>
    <row r="638" s="215" customFormat="1" x14ac:dyDescent="0.3"/>
    <row r="639" s="215" customFormat="1" x14ac:dyDescent="0.3"/>
    <row r="640" s="215" customFormat="1" x14ac:dyDescent="0.3"/>
    <row r="641" s="215" customFormat="1" x14ac:dyDescent="0.3"/>
    <row r="642" s="215" customFormat="1" x14ac:dyDescent="0.3"/>
    <row r="643" s="215" customFormat="1" x14ac:dyDescent="0.3"/>
    <row r="644" s="215" customFormat="1" x14ac:dyDescent="0.3"/>
    <row r="645" s="215" customFormat="1" x14ac:dyDescent="0.3"/>
    <row r="646" s="215" customFormat="1" x14ac:dyDescent="0.3"/>
    <row r="647" s="215" customFormat="1" x14ac:dyDescent="0.3"/>
    <row r="648" s="215" customFormat="1" x14ac:dyDescent="0.3"/>
    <row r="649" s="215" customFormat="1" x14ac:dyDescent="0.3"/>
    <row r="650" s="215" customFormat="1" x14ac:dyDescent="0.3"/>
    <row r="651" s="215" customFormat="1" x14ac:dyDescent="0.3"/>
    <row r="652" s="215" customFormat="1" x14ac:dyDescent="0.3"/>
    <row r="653" s="215" customFormat="1" x14ac:dyDescent="0.3"/>
    <row r="654" s="215" customFormat="1" x14ac:dyDescent="0.3"/>
    <row r="655" s="215" customFormat="1" x14ac:dyDescent="0.3"/>
    <row r="656" s="215" customFormat="1" x14ac:dyDescent="0.3"/>
    <row r="657" s="215" customFormat="1" x14ac:dyDescent="0.3"/>
    <row r="658" s="215" customFormat="1" x14ac:dyDescent="0.3"/>
    <row r="659" s="215" customFormat="1" x14ac:dyDescent="0.3"/>
    <row r="660" s="215" customFormat="1" x14ac:dyDescent="0.3"/>
    <row r="661" s="215" customFormat="1" x14ac:dyDescent="0.3"/>
    <row r="662" s="215" customFormat="1" x14ac:dyDescent="0.3"/>
    <row r="663" s="215" customFormat="1" x14ac:dyDescent="0.3"/>
    <row r="664" s="215" customFormat="1" x14ac:dyDescent="0.3"/>
    <row r="665" s="215" customFormat="1" x14ac:dyDescent="0.3"/>
    <row r="666" s="215" customFormat="1" x14ac:dyDescent="0.3"/>
    <row r="667" s="215" customFormat="1" x14ac:dyDescent="0.3"/>
    <row r="668" s="215" customFormat="1" x14ac:dyDescent="0.3"/>
    <row r="669" s="215" customFormat="1" x14ac:dyDescent="0.3"/>
    <row r="670" s="215" customFormat="1" x14ac:dyDescent="0.3"/>
    <row r="671" s="215" customFormat="1" x14ac:dyDescent="0.3"/>
    <row r="672" s="215" customFormat="1" x14ac:dyDescent="0.3"/>
    <row r="673" s="215" customFormat="1" x14ac:dyDescent="0.3"/>
    <row r="674" s="215" customFormat="1" x14ac:dyDescent="0.3"/>
    <row r="675" s="215" customFormat="1" x14ac:dyDescent="0.3"/>
    <row r="676" s="215" customFormat="1" x14ac:dyDescent="0.3"/>
    <row r="677" s="215" customFormat="1" x14ac:dyDescent="0.3"/>
    <row r="678" s="215" customFormat="1" x14ac:dyDescent="0.3"/>
    <row r="679" s="215" customFormat="1" x14ac:dyDescent="0.3"/>
    <row r="680" s="215" customFormat="1" x14ac:dyDescent="0.3"/>
    <row r="681" s="215" customFormat="1" x14ac:dyDescent="0.3"/>
    <row r="682" s="215" customFormat="1" x14ac:dyDescent="0.3"/>
    <row r="683" s="215" customFormat="1" x14ac:dyDescent="0.3"/>
    <row r="684" s="215" customFormat="1" x14ac:dyDescent="0.3"/>
    <row r="685" s="215" customFormat="1" x14ac:dyDescent="0.3"/>
    <row r="686" s="215" customFormat="1" x14ac:dyDescent="0.3"/>
    <row r="687" s="215" customFormat="1" x14ac:dyDescent="0.3"/>
    <row r="688" s="215" customFormat="1" x14ac:dyDescent="0.3"/>
    <row r="689" spans="1:9" x14ac:dyDescent="0.3">
      <c r="A689" s="215"/>
      <c r="B689" s="215"/>
      <c r="C689" s="215"/>
      <c r="D689" s="215"/>
      <c r="E689" s="215"/>
      <c r="F689" s="215"/>
      <c r="G689" s="215"/>
      <c r="H689" s="215"/>
      <c r="I689" s="215"/>
    </row>
    <row r="690" spans="1:9" x14ac:dyDescent="0.3">
      <c r="A690" s="215"/>
      <c r="B690" s="215"/>
      <c r="C690" s="215"/>
      <c r="D690" s="215"/>
      <c r="E690" s="215"/>
      <c r="F690" s="215"/>
      <c r="G690" s="215"/>
      <c r="H690" s="215"/>
      <c r="I690" s="215"/>
    </row>
    <row r="691" spans="1:9" x14ac:dyDescent="0.3">
      <c r="A691" s="215"/>
      <c r="B691" s="215"/>
      <c r="C691" s="215"/>
      <c r="D691" s="215"/>
      <c r="E691" s="215"/>
      <c r="F691" s="215"/>
      <c r="G691" s="215"/>
      <c r="H691" s="215"/>
      <c r="I691" s="215"/>
    </row>
    <row r="692" spans="1:9" x14ac:dyDescent="0.3">
      <c r="A692" s="215"/>
      <c r="B692" s="215"/>
      <c r="C692" s="215"/>
      <c r="D692" s="215"/>
      <c r="E692" s="215"/>
      <c r="F692" s="215"/>
      <c r="G692" s="215"/>
      <c r="H692" s="215"/>
      <c r="I692" s="215"/>
    </row>
    <row r="693" spans="1:9" x14ac:dyDescent="0.3">
      <c r="A693" s="215"/>
      <c r="B693" s="215"/>
      <c r="C693" s="215"/>
      <c r="D693" s="215"/>
      <c r="E693" s="215"/>
      <c r="F693" s="215"/>
      <c r="G693" s="215"/>
      <c r="H693" s="215"/>
      <c r="I693" s="215"/>
    </row>
    <row r="694" spans="1:9" x14ac:dyDescent="0.3">
      <c r="A694" s="215"/>
      <c r="B694" s="215"/>
      <c r="C694" s="215"/>
      <c r="D694" s="215"/>
      <c r="E694" s="215"/>
      <c r="F694" s="215"/>
      <c r="G694" s="215"/>
      <c r="H694" s="215"/>
      <c r="I694" s="215"/>
    </row>
    <row r="695" spans="1:9" x14ac:dyDescent="0.3">
      <c r="A695" s="215"/>
      <c r="B695" s="215"/>
      <c r="C695" s="215"/>
      <c r="D695" s="215"/>
      <c r="E695" s="215"/>
      <c r="F695" s="215"/>
      <c r="G695" s="215"/>
      <c r="H695" s="215"/>
      <c r="I695" s="215"/>
    </row>
    <row r="696" spans="1:9" x14ac:dyDescent="0.3">
      <c r="A696" s="215"/>
      <c r="B696" s="215"/>
      <c r="C696" s="215"/>
      <c r="D696" s="215"/>
      <c r="E696" s="215"/>
      <c r="F696" s="215"/>
      <c r="G696" s="215"/>
      <c r="H696" s="215"/>
      <c r="I696" s="215"/>
    </row>
    <row r="697" spans="1:9" x14ac:dyDescent="0.3">
      <c r="A697" s="215"/>
      <c r="B697" s="215"/>
      <c r="C697" s="215"/>
      <c r="D697" s="215"/>
      <c r="E697" s="215"/>
      <c r="F697" s="215"/>
      <c r="G697" s="215"/>
      <c r="H697" s="215"/>
      <c r="I697" s="215"/>
    </row>
    <row r="698" spans="1:9" x14ac:dyDescent="0.3">
      <c r="A698" s="215"/>
      <c r="B698" s="215"/>
      <c r="C698" s="215"/>
      <c r="D698" s="215"/>
      <c r="E698" s="215"/>
      <c r="F698" s="215"/>
      <c r="G698" s="215"/>
      <c r="H698" s="215"/>
      <c r="I698" s="215"/>
    </row>
    <row r="699" spans="1:9" x14ac:dyDescent="0.3">
      <c r="A699" s="215"/>
      <c r="B699" s="215"/>
      <c r="C699" s="215"/>
      <c r="D699" s="215"/>
      <c r="E699" s="215"/>
      <c r="F699" s="215"/>
      <c r="G699" s="215"/>
      <c r="H699" s="215"/>
      <c r="I699" s="215"/>
    </row>
    <row r="700" spans="1:9" x14ac:dyDescent="0.3">
      <c r="A700" s="215"/>
      <c r="B700" s="215"/>
      <c r="C700" s="215"/>
      <c r="D700" s="215"/>
      <c r="E700" s="215"/>
      <c r="F700" s="215"/>
      <c r="G700" s="215"/>
      <c r="H700" s="215"/>
      <c r="I700" s="215"/>
    </row>
    <row r="701" spans="1:9" x14ac:dyDescent="0.3">
      <c r="B701" s="215"/>
      <c r="C701" s="215"/>
      <c r="D701" s="215"/>
      <c r="E701" s="215"/>
      <c r="F701" s="215"/>
      <c r="G701" s="215"/>
      <c r="H701" s="215"/>
      <c r="I701" s="215"/>
    </row>
    <row r="702" spans="1:9" x14ac:dyDescent="0.3">
      <c r="G702" s="215"/>
      <c r="H702" s="215"/>
      <c r="I702" s="215"/>
    </row>
    <row r="703" spans="1:9" x14ac:dyDescent="0.3">
      <c r="G703" s="215"/>
      <c r="H703" s="215"/>
      <c r="I703" s="2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8286040FA2D154ABC04B9E51A3A93CF" ma:contentTypeVersion="11" ma:contentTypeDescription="Luo uusi asiakirja." ma:contentTypeScope="" ma:versionID="55a4a9c56a2f2e8d80de8fa53124452b">
  <xsd:schema xmlns:xsd="http://www.w3.org/2001/XMLSchema" xmlns:xs="http://www.w3.org/2001/XMLSchema" xmlns:p="http://schemas.microsoft.com/office/2006/metadata/properties" xmlns:ns3="091f402f-97bb-47f3-9bf3-d1085f8f0d18" xmlns:ns4="f1032099-fd48-482d-901d-2fbe6d3a3c04" targetNamespace="http://schemas.microsoft.com/office/2006/metadata/properties" ma:root="true" ma:fieldsID="4a86b7040f7f825bca8c1160ad95bd10" ns3:_="" ns4:_="">
    <xsd:import namespace="091f402f-97bb-47f3-9bf3-d1085f8f0d18"/>
    <xsd:import namespace="f1032099-fd48-482d-901d-2fbe6d3a3c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f402f-97bb-47f3-9bf3-d1085f8f0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32099-fd48-482d-901d-2fbe6d3a3c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975BF4-7B25-484E-B94A-5E2BE3CC79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1f402f-97bb-47f3-9bf3-d1085f8f0d18"/>
    <ds:schemaRef ds:uri="f1032099-fd48-482d-901d-2fbe6d3a3c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13F8B9-054B-4F3B-B095-70CA542377D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A8B3329-BF6E-48AE-82CF-BB1A631302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KÄYTTÖTAULU</vt:lpstr>
      <vt:lpstr>muut muuttujat</vt:lpstr>
      <vt:lpstr>virheet</vt:lpstr>
      <vt:lpstr>laskenta</vt:lpstr>
      <vt:lpstr>vuosityö ja aikk laskenta</vt:lpstr>
      <vt:lpstr>1.6.2024</vt:lpstr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OVTES-palkanlaskentaohjelma 1.6.2021 lukien</dc:title>
  <dc:creator>Kunnallinen työmarkkinalaitos</dc:creator>
  <cp:lastModifiedBy>Mattila Marjaana</cp:lastModifiedBy>
  <cp:lastPrinted>2008-05-12T08:11:22Z</cp:lastPrinted>
  <dcterms:created xsi:type="dcterms:W3CDTF">2000-02-01T07:49:18Z</dcterms:created>
  <dcterms:modified xsi:type="dcterms:W3CDTF">2024-06-20T09:14:06Z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N2Description">
    <vt:lpwstr>Helppokäyttöinen Excel-ohjelma opettajien palkanlaskennan perustilanteisiin. _x000d_
_x000d_
Se sisältää kaikki OVTES 2014–2016:n hinnoittelutunnukset.</vt:lpwstr>
  </property>
  <property fmtid="{D5CDD505-2E9C-101B-9397-08002B2CF9AE}" pid="3" name="KN2Keywords">
    <vt:lpwstr/>
  </property>
  <property fmtid="{D5CDD505-2E9C-101B-9397-08002B2CF9AE}" pid="4" name="Theme">
    <vt:lpwstr/>
  </property>
  <property fmtid="{D5CDD505-2E9C-101B-9397-08002B2CF9AE}" pid="5" name="KN2KeywordsTaxHTField0">
    <vt:lpwstr/>
  </property>
  <property fmtid="{D5CDD505-2E9C-101B-9397-08002B2CF9AE}" pid="6" name="ThemeTaxHTField0">
    <vt:lpwstr/>
  </property>
  <property fmtid="{D5CDD505-2E9C-101B-9397-08002B2CF9AE}" pid="7" name="TaxCatchAll">
    <vt:lpwstr/>
  </property>
  <property fmtid="{D5CDD505-2E9C-101B-9397-08002B2CF9AE}" pid="8" name="_dlc_DocId">
    <vt:lpwstr>E6NQPWJF6HVP-608-18</vt:lpwstr>
  </property>
  <property fmtid="{D5CDD505-2E9C-101B-9397-08002B2CF9AE}" pid="9" name="_dlc_DocIdItemGuid">
    <vt:lpwstr>fff5ef75-344f-465a-aa93-2725f90f380b</vt:lpwstr>
  </property>
  <property fmtid="{D5CDD505-2E9C-101B-9397-08002B2CF9AE}" pid="10" name="_dlc_DocIdUrl">
    <vt:lpwstr>http://kt.kl-spfarm1/fi/sopimukset/opettajat/palkat-ja-palkkiot/_layouts/DocIdRedir.aspx?ID=E6NQPWJF6HVP-608-18, E6NQPWJF6HVP-608-18</vt:lpwstr>
  </property>
  <property fmtid="{D5CDD505-2E9C-101B-9397-08002B2CF9AE}" pid="11" name="ContentTypeId">
    <vt:lpwstr>0x01010088286040FA2D154ABC04B9E51A3A93CF</vt:lpwstr>
  </property>
</Properties>
</file>