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defaultThemeVersion="124226"/>
  <xr:revisionPtr revIDLastSave="0" documentId="8_{4B2D7D16-EB77-4F0B-817E-46F8BCF63F36}" xr6:coauthVersionLast="47" xr6:coauthVersionMax="47" xr10:uidLastSave="{00000000-0000-0000-0000-000000000000}"/>
  <bookViews>
    <workbookView xWindow="-110" yWindow="-110" windowWidth="38620" windowHeight="21100" xr2:uid="{00000000-000D-0000-FFFF-FFFF00000000}"/>
  </bookViews>
  <sheets>
    <sheet name="Yhteenvetotaulu" sheetId="2" r:id="rId1"/>
    <sheet name="Järjestelyerä (0,4 %)" sheetId="3" r:id="rId2"/>
    <sheet name="Järjestelyerän perälauta (0,3%)" sheetId="4" r:id="rId3"/>
    <sheet name="Kehittämisohjelmaerä 1,2%"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6" i="4" l="1"/>
  <c r="F29" i="4"/>
  <c r="F28" i="4"/>
  <c r="N28" i="4"/>
  <c r="N31" i="4"/>
  <c r="O38" i="4"/>
  <c r="F30" i="5"/>
  <c r="F27" i="5"/>
  <c r="F30" i="3"/>
  <c r="F31" i="4"/>
  <c r="S35" i="5"/>
  <c r="R35" i="5"/>
  <c r="U43" i="3"/>
  <c r="S43" i="3"/>
  <c r="Q43" i="3"/>
  <c r="P43" i="3"/>
  <c r="O43" i="3"/>
  <c r="I43" i="3"/>
  <c r="K43" i="3" s="1"/>
  <c r="U43" i="5"/>
  <c r="S43" i="5"/>
  <c r="Q43" i="5"/>
  <c r="P43" i="5"/>
  <c r="O43" i="5"/>
  <c r="I43" i="5"/>
  <c r="K43" i="5" s="1"/>
  <c r="N43" i="5" s="1"/>
  <c r="U42" i="5"/>
  <c r="S42" i="5"/>
  <c r="Q42" i="5"/>
  <c r="P42" i="5"/>
  <c r="O42" i="5"/>
  <c r="I42" i="5"/>
  <c r="K42" i="5" s="1"/>
  <c r="N42" i="5" s="1"/>
  <c r="U41" i="5"/>
  <c r="S41" i="5"/>
  <c r="Q41" i="5"/>
  <c r="P41" i="5"/>
  <c r="O41" i="5"/>
  <c r="I41" i="5"/>
  <c r="K41" i="5" s="1"/>
  <c r="N41" i="5" s="1"/>
  <c r="U40" i="5"/>
  <c r="S40" i="5"/>
  <c r="Q40" i="5"/>
  <c r="P40" i="5"/>
  <c r="O40" i="5"/>
  <c r="I40" i="5"/>
  <c r="K40" i="5" s="1"/>
  <c r="N40" i="5" s="1"/>
  <c r="U39" i="5"/>
  <c r="S39" i="5"/>
  <c r="Q39" i="5"/>
  <c r="P39" i="5"/>
  <c r="O39" i="5"/>
  <c r="I39" i="5"/>
  <c r="K39" i="5" s="1"/>
  <c r="N39" i="5" s="1"/>
  <c r="U38" i="5"/>
  <c r="S38" i="5"/>
  <c r="Q38" i="5"/>
  <c r="P38" i="5"/>
  <c r="O38" i="5"/>
  <c r="R38" i="5" s="1"/>
  <c r="I38" i="5"/>
  <c r="K38" i="5" s="1"/>
  <c r="N38" i="5" s="1"/>
  <c r="U37" i="5"/>
  <c r="S37" i="5"/>
  <c r="Q37" i="5"/>
  <c r="P37" i="5"/>
  <c r="O37" i="5"/>
  <c r="I37" i="5"/>
  <c r="K37" i="5" s="1"/>
  <c r="N37" i="5" s="1"/>
  <c r="U36" i="5"/>
  <c r="S36" i="5"/>
  <c r="Q36" i="5"/>
  <c r="P36" i="5"/>
  <c r="O36" i="5"/>
  <c r="I36" i="5"/>
  <c r="K36" i="5" s="1"/>
  <c r="N36" i="5" s="1"/>
  <c r="U35" i="5"/>
  <c r="Q35" i="5"/>
  <c r="P35" i="5"/>
  <c r="O35" i="5"/>
  <c r="I35" i="5"/>
  <c r="K35" i="5" s="1"/>
  <c r="N35" i="5" s="1"/>
  <c r="U34" i="5"/>
  <c r="S34" i="5"/>
  <c r="Q34" i="5"/>
  <c r="P34" i="5"/>
  <c r="O34" i="5"/>
  <c r="O30" i="5" s="1"/>
  <c r="I34" i="5"/>
  <c r="K34" i="5" s="1"/>
  <c r="U44" i="4"/>
  <c r="S44" i="4"/>
  <c r="Q44" i="4"/>
  <c r="P44" i="4"/>
  <c r="O44" i="4"/>
  <c r="I44" i="4"/>
  <c r="K44" i="4" s="1"/>
  <c r="N44" i="4" s="1"/>
  <c r="U43" i="4"/>
  <c r="S43" i="4"/>
  <c r="Q43" i="4"/>
  <c r="P43" i="4"/>
  <c r="O43" i="4"/>
  <c r="I43" i="4"/>
  <c r="K43" i="4" s="1"/>
  <c r="N43" i="4" s="1"/>
  <c r="U42" i="4"/>
  <c r="S42" i="4"/>
  <c r="Q42" i="4"/>
  <c r="P42" i="4"/>
  <c r="I42" i="4"/>
  <c r="K42" i="4" s="1"/>
  <c r="N42" i="4" s="1"/>
  <c r="O42" i="4"/>
  <c r="U41" i="4"/>
  <c r="S41" i="4"/>
  <c r="Q41" i="4"/>
  <c r="P41" i="4"/>
  <c r="I41" i="4"/>
  <c r="K41" i="4" s="1"/>
  <c r="N41" i="4" s="1"/>
  <c r="O41" i="4"/>
  <c r="U40" i="4"/>
  <c r="S40" i="4"/>
  <c r="Q40" i="4"/>
  <c r="P40" i="4"/>
  <c r="O40" i="4"/>
  <c r="I40" i="4"/>
  <c r="K40" i="4" s="1"/>
  <c r="N40" i="4" s="1"/>
  <c r="U39" i="4"/>
  <c r="S39" i="4"/>
  <c r="Q39" i="4"/>
  <c r="P39" i="4"/>
  <c r="I39" i="4"/>
  <c r="K39" i="4" s="1"/>
  <c r="N39" i="4" s="1"/>
  <c r="O39" i="4"/>
  <c r="U38" i="4"/>
  <c r="S38" i="4"/>
  <c r="Q38" i="4"/>
  <c r="P38" i="4"/>
  <c r="I38" i="4"/>
  <c r="K38" i="4" s="1"/>
  <c r="N38" i="4" s="1"/>
  <c r="U37" i="4"/>
  <c r="S37" i="4"/>
  <c r="Q37" i="4"/>
  <c r="P37" i="4"/>
  <c r="O37" i="4"/>
  <c r="I37" i="4"/>
  <c r="K37" i="4" s="1"/>
  <c r="N37" i="4" s="1"/>
  <c r="U36" i="4"/>
  <c r="S36" i="4"/>
  <c r="Q36" i="4"/>
  <c r="P36" i="4"/>
  <c r="I36" i="4"/>
  <c r="K36" i="4" s="1"/>
  <c r="N36" i="4" s="1"/>
  <c r="O36" i="4"/>
  <c r="U35" i="4"/>
  <c r="S35" i="4"/>
  <c r="Q35" i="4"/>
  <c r="P35" i="4"/>
  <c r="O35" i="4"/>
  <c r="I35" i="4"/>
  <c r="K35" i="4" s="1"/>
  <c r="U42" i="3"/>
  <c r="S42" i="3"/>
  <c r="Q42" i="3"/>
  <c r="P42" i="3"/>
  <c r="O42" i="3"/>
  <c r="I42" i="3"/>
  <c r="K42" i="3" s="1"/>
  <c r="N42" i="3" s="1"/>
  <c r="U41" i="3"/>
  <c r="S41" i="3"/>
  <c r="Q41" i="3"/>
  <c r="P41" i="3"/>
  <c r="U40" i="3"/>
  <c r="S40" i="3"/>
  <c r="Q40" i="3"/>
  <c r="P40" i="3"/>
  <c r="U39" i="3"/>
  <c r="S39" i="3"/>
  <c r="Q39" i="3"/>
  <c r="P39" i="3"/>
  <c r="O39" i="3"/>
  <c r="I39" i="3"/>
  <c r="K39" i="3" s="1"/>
  <c r="N39" i="3" s="1"/>
  <c r="U38" i="3"/>
  <c r="S38" i="3"/>
  <c r="Q38" i="3"/>
  <c r="P38" i="3"/>
  <c r="U37" i="3"/>
  <c r="S37" i="3"/>
  <c r="Q37" i="3"/>
  <c r="P37" i="3"/>
  <c r="O37" i="3"/>
  <c r="U36" i="3"/>
  <c r="S36" i="3"/>
  <c r="Q36" i="3"/>
  <c r="P36" i="3"/>
  <c r="O36" i="3"/>
  <c r="I36" i="3"/>
  <c r="K36" i="3" s="1"/>
  <c r="N36" i="3" s="1"/>
  <c r="U35" i="3"/>
  <c r="S35" i="3"/>
  <c r="Q35" i="3"/>
  <c r="P35" i="3"/>
  <c r="U34" i="3"/>
  <c r="S34" i="3"/>
  <c r="Q34" i="3"/>
  <c r="P34" i="3"/>
  <c r="O34" i="3"/>
  <c r="I34" i="3"/>
  <c r="K34" i="3" s="1"/>
  <c r="R40" i="5" l="1"/>
  <c r="T40" i="5" s="1"/>
  <c r="K30" i="5"/>
  <c r="F27" i="3"/>
  <c r="O31" i="4"/>
  <c r="K31" i="4"/>
  <c r="T35" i="5"/>
  <c r="V35" i="5" s="1"/>
  <c r="R36" i="5"/>
  <c r="T36" i="5" s="1"/>
  <c r="N43" i="3"/>
  <c r="R43" i="3"/>
  <c r="T43" i="3" s="1"/>
  <c r="R37" i="5"/>
  <c r="R39" i="5"/>
  <c r="T39" i="5" s="1"/>
  <c r="T37" i="5"/>
  <c r="R42" i="5"/>
  <c r="T42" i="5" s="1"/>
  <c r="V37" i="5"/>
  <c r="W37" i="5"/>
  <c r="E37" i="2" s="1"/>
  <c r="W35" i="5"/>
  <c r="E35" i="2" s="1"/>
  <c r="N34" i="5"/>
  <c r="N30" i="5" s="1"/>
  <c r="V40" i="5"/>
  <c r="W40" i="5" s="1"/>
  <c r="E40" i="2" s="1"/>
  <c r="R34" i="5"/>
  <c r="T34" i="5" s="1"/>
  <c r="R41" i="5"/>
  <c r="T41" i="5" s="1"/>
  <c r="T38" i="5"/>
  <c r="F28" i="5"/>
  <c r="R43" i="5"/>
  <c r="T43" i="5" s="1"/>
  <c r="R35" i="4"/>
  <c r="T35" i="4" s="1"/>
  <c r="R44" i="4"/>
  <c r="R43" i="4"/>
  <c r="T44" i="4"/>
  <c r="V44" i="4" s="1"/>
  <c r="W44" i="4" s="1"/>
  <c r="D43" i="2" s="1"/>
  <c r="T43" i="4"/>
  <c r="R36" i="4"/>
  <c r="T36" i="4" s="1"/>
  <c r="R42" i="4"/>
  <c r="T42" i="4" s="1"/>
  <c r="R38" i="4"/>
  <c r="T38" i="4" s="1"/>
  <c r="R39" i="4"/>
  <c r="T39" i="4" s="1"/>
  <c r="R41" i="4"/>
  <c r="T41" i="4" s="1"/>
  <c r="N35" i="4"/>
  <c r="R40" i="4"/>
  <c r="T40" i="4" s="1"/>
  <c r="R37" i="4"/>
  <c r="T37" i="4" s="1"/>
  <c r="R39" i="3"/>
  <c r="T39" i="3" s="1"/>
  <c r="R36" i="3"/>
  <c r="T36" i="3" s="1"/>
  <c r="O40" i="3"/>
  <c r="R40" i="3" s="1"/>
  <c r="T40" i="3" s="1"/>
  <c r="O38" i="3"/>
  <c r="R38" i="3" s="1"/>
  <c r="T38" i="3" s="1"/>
  <c r="R34" i="3"/>
  <c r="N34" i="3"/>
  <c r="T34" i="3"/>
  <c r="O35" i="3"/>
  <c r="O41" i="3"/>
  <c r="R42" i="3"/>
  <c r="T42" i="3" s="1"/>
  <c r="I35" i="3"/>
  <c r="K35" i="3" s="1"/>
  <c r="N35" i="3" s="1"/>
  <c r="I38" i="3"/>
  <c r="K38" i="3" s="1"/>
  <c r="N38" i="3" s="1"/>
  <c r="I41" i="3"/>
  <c r="K41" i="3" s="1"/>
  <c r="N41" i="3" s="1"/>
  <c r="I37" i="3"/>
  <c r="K37" i="3" s="1"/>
  <c r="N37" i="3" s="1"/>
  <c r="I40" i="3"/>
  <c r="K40" i="3" s="1"/>
  <c r="N40" i="3" s="1"/>
  <c r="R37" i="3"/>
  <c r="T37" i="3" s="1"/>
  <c r="O30" i="3" l="1"/>
  <c r="T30" i="5"/>
  <c r="T31" i="4"/>
  <c r="V35" i="4"/>
  <c r="W35" i="4" s="1"/>
  <c r="N30" i="3"/>
  <c r="K30" i="3"/>
  <c r="X37" i="5"/>
  <c r="X35" i="5"/>
  <c r="X40" i="5"/>
  <c r="V43" i="3"/>
  <c r="W43" i="3" s="1"/>
  <c r="C43" i="2" s="1"/>
  <c r="N27" i="5"/>
  <c r="V42" i="5"/>
  <c r="W42" i="5" s="1"/>
  <c r="E42" i="2" s="1"/>
  <c r="V43" i="5"/>
  <c r="W43" i="5" s="1"/>
  <c r="E43" i="2" s="1"/>
  <c r="F43" i="2" s="1"/>
  <c r="V41" i="5"/>
  <c r="W41" i="5" s="1"/>
  <c r="E41" i="2" s="1"/>
  <c r="V34" i="5"/>
  <c r="W34" i="5"/>
  <c r="E34" i="2" s="1"/>
  <c r="V38" i="5"/>
  <c r="W38" i="5" s="1"/>
  <c r="E38" i="2" s="1"/>
  <c r="V36" i="5"/>
  <c r="W36" i="5" s="1"/>
  <c r="E36" i="2" s="1"/>
  <c r="V39" i="5"/>
  <c r="W39" i="5" s="1"/>
  <c r="E39" i="2" s="1"/>
  <c r="V40" i="4"/>
  <c r="W40" i="4" s="1"/>
  <c r="D39" i="2" s="1"/>
  <c r="V39" i="4"/>
  <c r="W39" i="4" s="1"/>
  <c r="D38" i="2" s="1"/>
  <c r="V41" i="4"/>
  <c r="W41" i="4"/>
  <c r="D40" i="2" s="1"/>
  <c r="V42" i="4"/>
  <c r="W42" i="4" s="1"/>
  <c r="D41" i="2" s="1"/>
  <c r="V36" i="4"/>
  <c r="D35" i="2" s="1"/>
  <c r="V38" i="4"/>
  <c r="W38" i="4" s="1"/>
  <c r="D37" i="2" s="1"/>
  <c r="V43" i="4"/>
  <c r="W43" i="4" s="1"/>
  <c r="D42" i="2" s="1"/>
  <c r="V37" i="4"/>
  <c r="W37" i="4" s="1"/>
  <c r="D36" i="2" s="1"/>
  <c r="F28" i="3"/>
  <c r="N27" i="3"/>
  <c r="V40" i="3"/>
  <c r="W40" i="3" s="1"/>
  <c r="C40" i="2" s="1"/>
  <c r="V38" i="3"/>
  <c r="W38" i="3" s="1"/>
  <c r="C38" i="2" s="1"/>
  <c r="V39" i="3"/>
  <c r="W39" i="3" s="1"/>
  <c r="C39" i="2" s="1"/>
  <c r="R41" i="3"/>
  <c r="T41" i="3" s="1"/>
  <c r="R35" i="3"/>
  <c r="T35" i="3" s="1"/>
  <c r="T30" i="3" s="1"/>
  <c r="V37" i="3"/>
  <c r="W37" i="3" s="1"/>
  <c r="C37" i="2" s="1"/>
  <c r="F37" i="2" s="1"/>
  <c r="V36" i="3"/>
  <c r="W36" i="3" s="1"/>
  <c r="C36" i="2" s="1"/>
  <c r="V42" i="3"/>
  <c r="W42" i="3" s="1"/>
  <c r="C42" i="2" s="1"/>
  <c r="V34" i="3"/>
  <c r="W34" i="3" s="1"/>
  <c r="C34" i="2" s="1"/>
  <c r="E31" i="2" l="1"/>
  <c r="F42" i="2"/>
  <c r="F40" i="2"/>
  <c r="W30" i="5"/>
  <c r="F36" i="2"/>
  <c r="F38" i="2"/>
  <c r="E32" i="2"/>
  <c r="F39" i="2"/>
  <c r="D34" i="2"/>
  <c r="D31" i="2" s="1"/>
  <c r="D32" i="2" s="1"/>
  <c r="W31" i="4"/>
  <c r="X42" i="5"/>
  <c r="X36" i="5"/>
  <c r="X38" i="5"/>
  <c r="X43" i="5"/>
  <c r="X41" i="5"/>
  <c r="X39" i="5"/>
  <c r="X34" i="5"/>
  <c r="K28" i="5"/>
  <c r="K27" i="5"/>
  <c r="K29" i="4"/>
  <c r="K28" i="4"/>
  <c r="V41" i="3"/>
  <c r="W41" i="3" s="1"/>
  <c r="C41" i="2" s="1"/>
  <c r="F41" i="2" s="1"/>
  <c r="V35" i="3"/>
  <c r="W35" i="3" s="1"/>
  <c r="C35" i="2" s="1"/>
  <c r="F35" i="2" s="1"/>
  <c r="F34" i="2" l="1"/>
  <c r="W30" i="3"/>
  <c r="C31" i="2"/>
  <c r="C32" i="2" s="1"/>
  <c r="F32" i="2" s="1"/>
  <c r="W27" i="3"/>
  <c r="W27" i="5"/>
  <c r="W28" i="5"/>
  <c r="W29" i="4"/>
  <c r="W28" i="4"/>
  <c r="W28" i="3"/>
  <c r="K28" i="3"/>
  <c r="K27" i="3"/>
  <c r="F31" i="2" l="1"/>
</calcChain>
</file>

<file path=xl/sharedStrings.xml><?xml version="1.0" encoding="utf-8"?>
<sst xmlns="http://schemas.openxmlformats.org/spreadsheetml/2006/main" count="251" uniqueCount="92">
  <si>
    <t xml:space="preserve">Palvelussuhteiden lukumäärä 10, joista: </t>
  </si>
  <si>
    <t>- Henkilöt 1 ja 2 työskentelevät yhtä vaativassa tehtävässä A, henkilö 2 on osa-aikainen ja osa-aikaprosentti on 60</t>
  </si>
  <si>
    <t>- Henkilöt 3, 4 ja 5 työskentelevät yhtä vaativassa tehtävässä B</t>
  </si>
  <si>
    <t>- Henkilöt 6, 7 ja 8 työskentelevät yhtä vaativassa tehtävässä C</t>
  </si>
  <si>
    <t>- Henkilö 9 työskentelee tehtävässä D</t>
  </si>
  <si>
    <t>- Henkilö 10 työskentelee tehtävässä E</t>
  </si>
  <si>
    <t xml:space="preserve">(*) Kun tähdellä merkittyjen tehtävien tehtäväkohtaista palkkaa korotetaan, korottuvat myös muiden yhtä vaativassa tehtävässä työskentelevien tehtäväkohtaiset palkat automaattisesti yhtä paljon. </t>
  </si>
  <si>
    <t xml:space="preserve">(**) Työkokemuslisä on automaattinen eli prosentuaalinen lisä, joka korottuu samassa suhteessa kuin tehtäväkohtainen palkka korottuu (korotuskerroin: uusi TKP/vanha TKP). </t>
  </si>
  <si>
    <t>(***) Työaikakorvaukset ovat automaattisia eli prosentuaalisia lisä, jotka korottuvat samassa suhteessa kuin varsinainen palkka korottuu (korotuskerroin: uusi VP/vanha VP).</t>
  </si>
  <si>
    <t>(****) Ei-automattiset eli euromääräiset lisät eivät korotu.</t>
  </si>
  <si>
    <t>Korotus 1.6.2023 euroa/kk</t>
  </si>
  <si>
    <t>Palkat euroa 31.3.2023:</t>
  </si>
  <si>
    <t>Uudet korotetut palkat euroa kuukaudessa 1.6.2023 lukien:</t>
  </si>
  <si>
    <t>Yhteenveto</t>
  </si>
  <si>
    <t xml:space="preserve">Merkitse tehtäväkohtaisen palkan ja/tai henkilökohtaisen lisän korotukset näihin kahteen sarakkeeseen vihreällä merkittyihin soluihin </t>
  </si>
  <si>
    <t>Henkilö</t>
  </si>
  <si>
    <t>Tehtävä</t>
  </si>
  <si>
    <t>Tehtävä-    kohtaisen palkan   korotus</t>
  </si>
  <si>
    <t>Henkilö-   kohtaisen lisän korotus</t>
  </si>
  <si>
    <t>3. Työkokemus-lisäprosentti</t>
  </si>
  <si>
    <t>9. Kokonais-ansio</t>
  </si>
  <si>
    <t>Henkilö 1</t>
  </si>
  <si>
    <t>A (*)</t>
  </si>
  <si>
    <t>Henkilö 2</t>
  </si>
  <si>
    <t>A</t>
  </si>
  <si>
    <t>Henkilö 3</t>
  </si>
  <si>
    <t>B (*)</t>
  </si>
  <si>
    <t>Henkilö 4</t>
  </si>
  <si>
    <t>B</t>
  </si>
  <si>
    <t>Henkilö 5</t>
  </si>
  <si>
    <t>Henkilö 6</t>
  </si>
  <si>
    <t>C (*)</t>
  </si>
  <si>
    <t>Henkilö 7</t>
  </si>
  <si>
    <t>C</t>
  </si>
  <si>
    <t>Henkilö 8</t>
  </si>
  <si>
    <t>Henkilö 9</t>
  </si>
  <si>
    <t>D</t>
  </si>
  <si>
    <t>Henkilö 10</t>
  </si>
  <si>
    <t>E</t>
  </si>
  <si>
    <t>Yhteensä</t>
  </si>
  <si>
    <t>Käytettävissä oleva järjestelyerä:</t>
  </si>
  <si>
    <t>Tehtäväkohtaisista palkoista ja/tai henkilökohtaisista lisistä</t>
  </si>
  <si>
    <t>Varsinaisista palkoista</t>
  </si>
  <si>
    <t>Kokonais- ansioista</t>
  </si>
  <si>
    <t>Toteutunut järjestelyerä:</t>
  </si>
  <si>
    <t>Kustannus euroa/kk</t>
  </si>
  <si>
    <t>Kustannus %</t>
  </si>
  <si>
    <t>KT Kuntatyönantajat/Paakkonen</t>
  </si>
  <si>
    <t>Mallilaskuri paikallisten järjestelyerien laskemiseen</t>
  </si>
  <si>
    <t>Paikalliset järjestelyerät 1.6.2023</t>
  </si>
  <si>
    <t>- Paikallinen järjestelyerä 0,4 %</t>
  </si>
  <si>
    <t>- Kehittämisohjelmaerä 1,2 %</t>
  </si>
  <si>
    <t>Mallilaskurin käyttö</t>
  </si>
  <si>
    <t>- Mallilaskurilla lasketaan aina yhdellä rivillä yhden ihmisen palkkatieto</t>
  </si>
  <si>
    <t>- Korotuksen voi tehdä tehtäväkohtaiseen palkkaan tai henkilökohtaiseen lisään</t>
  </si>
  <si>
    <t>- Kolmelle eri alasivulle on sijoitettu samanlainen laskuri. Jokaisella laskurilla voi tarkastella eri järjestelyerän korotusta yksilötason palkassa</t>
  </si>
  <si>
    <t>- Tällä näkyvissä olevalla yhteenvetosivulla laskuri laskee yhteen sekä henkilön saamaan korotuksen heijastusvaikutuksineen että korotuksen koko organisaation tasolla</t>
  </si>
  <si>
    <t>Korotus paikallisesta järjestelyerästä (0,4%)</t>
  </si>
  <si>
    <t>Korotus paikallisen järjestelyerän ylimenevästä osuudesta (perälauta)</t>
  </si>
  <si>
    <t>Korotus kehittämisohjelmaerästä</t>
  </si>
  <si>
    <t>Mallilaskuri 1.6.2023 paikallisen järjestelyerän 0,4 % kustannuksen laskemiseksi</t>
  </si>
  <si>
    <t>Paikallisten järjestelyerien kohdentaminen</t>
  </si>
  <si>
    <t>- Paikallisia järjestelyeriä kohdennettaessa ensisijaisia tavoitteita ovat henkilöstön saatavuuden turvaaminen, paikallisten palkkausepäkohtien korjaaminen sekä tuloksellisuutta ja tuottavuutta edistävien toimintojen ja tehtävien uudelleenjärjestelyjen tukeminen. Samalla huolehditaan siitä, että johto- ja esihenkilöasemassa sekä muiden palkkahinnoittelun ulkopuolella olevien palkkaus on oikeassa suhteessa heidän alaistensa tai verrokkiryhmien palkkaan nähden.</t>
  </si>
  <si>
    <t>- Paikallisten järjestelyerien kohdentamisessa työnantaja ottaa huomioon, että paikallisen järjestelyerän käyttö jakaantuu mahdollisimman tasapuolisesti liitteiden palkkasummat huomioiden eri palkkahinnoitteluliitteiden välillä.</t>
  </si>
  <si>
    <t>- Palkkahinnoittelun ulkopuoliset muodostavat tässä tarkastelussa oman ryhmänsä.</t>
  </si>
  <si>
    <t>- Paikallisia järjestelyeriä käytetään tehtäväkohtaisten palkkojen korotuksiin ja/tai henkilökohtaisiin lisiin tai vastaaviin korotuksiin.</t>
  </si>
  <si>
    <t>Tietoja mallilaskurista</t>
  </si>
  <si>
    <t>1. Tehtävä-    kohtainen palkka</t>
  </si>
  <si>
    <t>2. Henkilö-   kohtainen lisä</t>
  </si>
  <si>
    <t>4. Työkoke-  muslisä, auto- maattinen lisä (**)</t>
  </si>
  <si>
    <t>5. Muut varsinaisen palkan lisät, ei-auto- maattisia lisiä (****)</t>
  </si>
  <si>
    <t>6. Varsinainen palkka</t>
  </si>
  <si>
    <t>7. Muut kuin kohdan 4 euro-    määräiset lisät (****)</t>
  </si>
  <si>
    <t>8. Työaika-   korvaukset, auto-   maattisia lisiä (***)</t>
  </si>
  <si>
    <t>11. Tehtävä-    kohtainen palkka</t>
  </si>
  <si>
    <t>12. Henkilö-   kohtainen lisä</t>
  </si>
  <si>
    <t>13. Työkokemus-lisäprosentti</t>
  </si>
  <si>
    <t>14. Työkoke-  muslisä, auto- maattinen lisä (**)</t>
  </si>
  <si>
    <t>15. Muut varsinaisen palkan lisät, ei-auto- maattisia lisiä (****)</t>
  </si>
  <si>
    <t>16. Varsinainen palkka</t>
  </si>
  <si>
    <t>17. Muut kuin kohdan 4 euro-    määräiset lisät (****)</t>
  </si>
  <si>
    <t>18. Työaika-   korvaukset, auto-   maattisia lisiä (***)</t>
  </si>
  <si>
    <t>19. Kokonais-ansio</t>
  </si>
  <si>
    <t>Mallilaskuri 1.6.2023 paikallisen kehittämisohjelmaerän 1,2 % laskemiseksi</t>
  </si>
  <si>
    <t>- Kehittämisohjelman lähtökohtana on palkkauksen ja palkkausjärjestelmien kehittäminen.</t>
  </si>
  <si>
    <t>- Kehittämisohjelman tavoitteena on parantaa kunta- ja hyvinvointialan työpaikkojen kilpailukykyä, henkilöstön saatavuutta, työelämän laatua ja palvelutuotannon tuloksellisuutta. Tarkoituksena on uudistaa palkkausjärjestelmiä siten, että työssä tarvittavan osaamisen ja vastuun sekä yksilön palkitseminen hyvistä työsuorituksista toteutuvat nykyistä paremmin. Myös muu yksilö- ja ryhmäkohtainen palkitseminen ja suoritepalkkausjärjestelmät ovat kehittämisen kohteina.</t>
  </si>
  <si>
    <t>- Kesäkuussa 2023 jaettavan järjestelyerän suuruus on työ- ja virkaehtosopimuskohtaisesti 1,2 prosenttia KVTES:n palkkasummasta. Ensimmäistä erää voi käyttää mm. työvoiman saatavuudesta liittyviin perusteisiin (tehtäväkohtainen palkka ja henkilökohtainen lisä).</t>
  </si>
  <si>
    <t>20. Kokonais-ansio</t>
  </si>
  <si>
    <t>Yhteenveto, euroa</t>
  </si>
  <si>
    <t>Yhteenveto, %</t>
  </si>
  <si>
    <t>Mallilaskuri 1.6.2023 paikallisen järjestelyerän 0,3% kustannuksen laskemiseksi (perälauta)</t>
  </si>
  <si>
    <t>- Paikallisen järjestelyerän perälauta 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</si>
</sst>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sz val="8"/>
      <name val="Arial"/>
      <family val="2"/>
    </font>
    <font>
      <b/>
      <sz val="10"/>
      <name val="Arial"/>
      <family val="2"/>
    </font>
    <font>
      <sz val="10"/>
      <name val="Arial"/>
      <family val="2"/>
    </font>
    <font>
      <b/>
      <sz val="10"/>
      <color rgb="FF7030A0"/>
      <name val="Arial"/>
      <family val="2"/>
    </font>
    <font>
      <sz val="12"/>
      <name val="Arial"/>
      <family val="2"/>
    </font>
    <font>
      <b/>
      <sz val="16"/>
      <name val="Arial"/>
      <family val="2"/>
    </font>
    <font>
      <b/>
      <sz val="12"/>
      <name val="Arial"/>
      <family val="2"/>
    </font>
    <font>
      <b/>
      <sz val="14"/>
      <name val="Arial"/>
      <family val="2"/>
    </font>
    <font>
      <sz val="12"/>
      <color rgb="FF444444"/>
      <name val="Calibri"/>
      <family val="2"/>
    </font>
    <font>
      <i/>
      <sz val="13.5"/>
      <color rgb="FF444444"/>
      <name val="Calibri"/>
      <family val="2"/>
    </font>
    <font>
      <b/>
      <sz val="20"/>
      <name val="Arial"/>
      <family val="2"/>
    </font>
    <font>
      <b/>
      <sz val="10"/>
      <color theme="0"/>
      <name val="Arial"/>
      <family val="2"/>
    </font>
    <font>
      <b/>
      <sz val="16"/>
      <color rgb="FFFF0000"/>
      <name val="Arial"/>
      <family val="2"/>
    </font>
  </fonts>
  <fills count="10">
    <fill>
      <patternFill patternType="none"/>
    </fill>
    <fill>
      <patternFill patternType="gray125"/>
    </fill>
    <fill>
      <patternFill patternType="solid">
        <fgColor rgb="FF92D05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4"/>
        <bgColor theme="4"/>
      </patternFill>
    </fill>
    <fill>
      <patternFill patternType="solid">
        <fgColor theme="6" tint="0.59999389629810485"/>
        <bgColor indexed="64"/>
      </patternFill>
    </fill>
  </fills>
  <borders count="3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medium">
        <color indexed="64"/>
      </right>
      <top style="medium">
        <color theme="1"/>
      </top>
      <bottom/>
      <diagonal/>
    </border>
    <border>
      <left/>
      <right style="medium">
        <color indexed="64"/>
      </right>
      <top/>
      <bottom style="medium">
        <color theme="1"/>
      </bottom>
      <diagonal/>
    </border>
    <border>
      <left style="thin">
        <color indexed="64"/>
      </left>
      <right/>
      <top style="medium">
        <color theme="1"/>
      </top>
      <bottom/>
      <diagonal/>
    </border>
    <border>
      <left style="medium">
        <color indexed="64"/>
      </left>
      <right/>
      <top style="medium">
        <color theme="1"/>
      </top>
      <bottom/>
      <diagonal/>
    </border>
    <border>
      <left style="medium">
        <color indexed="64"/>
      </left>
      <right style="medium">
        <color indexed="64"/>
      </right>
      <top style="medium">
        <color theme="1"/>
      </top>
      <bottom/>
      <diagonal/>
    </border>
    <border>
      <left style="medium">
        <color indexed="64"/>
      </left>
      <right style="medium">
        <color theme="1"/>
      </right>
      <top style="medium">
        <color theme="1"/>
      </top>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indexed="64"/>
      </left>
      <right style="medium">
        <color indexed="64"/>
      </right>
      <top style="medium">
        <color theme="1"/>
      </top>
      <bottom style="medium">
        <color theme="1"/>
      </bottom>
      <diagonal/>
    </border>
    <border>
      <left style="medium">
        <color indexed="64"/>
      </left>
      <right/>
      <top style="medium">
        <color theme="1"/>
      </top>
      <bottom style="medium">
        <color theme="1"/>
      </bottom>
      <diagonal/>
    </border>
    <border>
      <left/>
      <right style="medium">
        <color indexed="64"/>
      </right>
      <top style="medium">
        <color theme="1"/>
      </top>
      <bottom style="medium">
        <color theme="1"/>
      </bottom>
      <diagonal/>
    </border>
    <border>
      <left style="medium">
        <color indexed="64"/>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medium">
        <color theme="1"/>
      </right>
      <top/>
      <bottom/>
      <diagonal/>
    </border>
  </borders>
  <cellStyleXfs count="1">
    <xf numFmtId="0" fontId="0" fillId="0" borderId="0"/>
  </cellStyleXfs>
  <cellXfs count="135">
    <xf numFmtId="0" fontId="0" fillId="0" borderId="0" xfId="0"/>
    <xf numFmtId="3" fontId="0" fillId="0" borderId="0" xfId="0" applyNumberFormat="1"/>
    <xf numFmtId="0" fontId="2" fillId="0" borderId="0" xfId="0" applyFont="1"/>
    <xf numFmtId="0" fontId="0" fillId="0" borderId="0" xfId="0" applyAlignment="1">
      <alignment horizontal="center"/>
    </xf>
    <xf numFmtId="3" fontId="2" fillId="0" borderId="0" xfId="0" applyNumberFormat="1" applyFont="1" applyAlignment="1">
      <alignment horizontal="center"/>
    </xf>
    <xf numFmtId="0" fontId="2" fillId="0" borderId="0" xfId="0" applyFont="1" applyAlignment="1">
      <alignment vertical="top" wrapText="1"/>
    </xf>
    <xf numFmtId="3" fontId="4" fillId="0" borderId="6" xfId="0" applyNumberFormat="1" applyFont="1" applyBorder="1" applyAlignment="1">
      <alignment horizontal="center"/>
    </xf>
    <xf numFmtId="3" fontId="2" fillId="2" borderId="5" xfId="0" applyNumberFormat="1"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3" fontId="2" fillId="2" borderId="6" xfId="0" applyNumberFormat="1" applyFont="1" applyFill="1" applyBorder="1" applyAlignment="1">
      <alignment horizontal="center"/>
    </xf>
    <xf numFmtId="0" fontId="3" fillId="0" borderId="0" xfId="0" applyFont="1"/>
    <xf numFmtId="0" fontId="5" fillId="0" borderId="0" xfId="0" applyFont="1"/>
    <xf numFmtId="0" fontId="6" fillId="0" borderId="0" xfId="0" applyFont="1"/>
    <xf numFmtId="0" fontId="7" fillId="0" borderId="0" xfId="0" applyFont="1"/>
    <xf numFmtId="3" fontId="2" fillId="0" borderId="12" xfId="0" applyNumberFormat="1" applyFont="1" applyBorder="1" applyAlignment="1">
      <alignment horizontal="center"/>
    </xf>
    <xf numFmtId="3" fontId="2" fillId="0" borderId="6" xfId="0" applyNumberFormat="1" applyFont="1" applyBorder="1" applyAlignment="1">
      <alignment horizontal="center"/>
    </xf>
    <xf numFmtId="3" fontId="2" fillId="0" borderId="8" xfId="0" applyNumberFormat="1" applyFont="1" applyBorder="1" applyAlignment="1">
      <alignment horizontal="center"/>
    </xf>
    <xf numFmtId="3" fontId="2" fillId="0" borderId="5" xfId="0" applyNumberFormat="1" applyFont="1" applyBorder="1" applyAlignment="1">
      <alignment horizontal="center"/>
    </xf>
    <xf numFmtId="3" fontId="2" fillId="0" borderId="1" xfId="0" applyNumberFormat="1" applyFont="1" applyBorder="1" applyAlignment="1">
      <alignment horizontal="center"/>
    </xf>
    <xf numFmtId="3" fontId="2" fillId="0" borderId="9" xfId="0" applyNumberFormat="1" applyFont="1" applyBorder="1" applyAlignment="1">
      <alignment horizontal="center"/>
    </xf>
    <xf numFmtId="0" fontId="7" fillId="0" borderId="0" xfId="0" applyFont="1" applyAlignment="1">
      <alignment horizontal="center"/>
    </xf>
    <xf numFmtId="0" fontId="7" fillId="0" borderId="0" xfId="0" quotePrefix="1" applyFont="1"/>
    <xf numFmtId="0" fontId="2" fillId="0" borderId="0" xfId="0" applyFont="1" applyAlignment="1">
      <alignment horizontal="center"/>
    </xf>
    <xf numFmtId="0" fontId="2" fillId="0" borderId="12" xfId="0" applyFont="1" applyBorder="1"/>
    <xf numFmtId="0" fontId="2" fillId="0" borderId="9" xfId="0" applyFont="1" applyBorder="1"/>
    <xf numFmtId="3" fontId="2" fillId="0" borderId="10" xfId="0" applyNumberFormat="1" applyFont="1" applyBorder="1" applyAlignment="1">
      <alignment horizontal="center"/>
    </xf>
    <xf numFmtId="3" fontId="2" fillId="0" borderId="2" xfId="0" applyNumberFormat="1" applyFont="1" applyBorder="1" applyAlignment="1">
      <alignment horizontal="center"/>
    </xf>
    <xf numFmtId="0" fontId="7" fillId="0" borderId="0" xfId="0" quotePrefix="1" applyFont="1" applyAlignment="1">
      <alignment vertical="center"/>
    </xf>
    <xf numFmtId="0" fontId="7" fillId="0" borderId="0" xfId="0" applyFont="1" applyAlignment="1">
      <alignment vertical="center"/>
    </xf>
    <xf numFmtId="1" fontId="2" fillId="0" borderId="13" xfId="0" applyNumberFormat="1" applyFont="1" applyBorder="1" applyAlignment="1">
      <alignment vertical="top"/>
    </xf>
    <xf numFmtId="0" fontId="2" fillId="0" borderId="13" xfId="0" applyFont="1" applyBorder="1" applyAlignment="1">
      <alignment horizontal="center" vertical="top" wrapText="1"/>
    </xf>
    <xf numFmtId="0" fontId="2" fillId="0" borderId="7"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0" fillId="0" borderId="15" xfId="0" applyBorder="1"/>
    <xf numFmtId="0" fontId="0" fillId="0" borderId="18" xfId="0" applyBorder="1"/>
    <xf numFmtId="0" fontId="2" fillId="2" borderId="14" xfId="0" applyFont="1" applyFill="1" applyBorder="1"/>
    <xf numFmtId="0" fontId="2" fillId="2" borderId="20" xfId="0" applyFont="1" applyFill="1" applyBorder="1"/>
    <xf numFmtId="0" fontId="7" fillId="5" borderId="15" xfId="0" applyFont="1" applyFill="1" applyBorder="1"/>
    <xf numFmtId="0" fontId="2" fillId="5" borderId="15" xfId="0" applyFont="1" applyFill="1" applyBorder="1"/>
    <xf numFmtId="0" fontId="0" fillId="5" borderId="15" xfId="0" applyFill="1" applyBorder="1"/>
    <xf numFmtId="0" fontId="3" fillId="6" borderId="15" xfId="0" applyFont="1" applyFill="1" applyBorder="1"/>
    <xf numFmtId="0" fontId="3" fillId="6" borderId="16" xfId="0" applyFont="1" applyFill="1" applyBorder="1"/>
    <xf numFmtId="0" fontId="0" fillId="5" borderId="18" xfId="0" applyFill="1" applyBorder="1"/>
    <xf numFmtId="0" fontId="3" fillId="6" borderId="18" xfId="0" applyFont="1" applyFill="1" applyBorder="1"/>
    <xf numFmtId="0" fontId="3" fillId="6" borderId="19" xfId="0" applyFont="1" applyFill="1" applyBorder="1"/>
    <xf numFmtId="0" fontId="7" fillId="6" borderId="14" xfId="0" applyFont="1" applyFill="1" applyBorder="1"/>
    <xf numFmtId="0" fontId="0" fillId="5" borderId="19" xfId="0" applyFill="1" applyBorder="1"/>
    <xf numFmtId="0" fontId="2" fillId="4" borderId="14" xfId="0" applyFont="1" applyFill="1" applyBorder="1" applyAlignment="1">
      <alignment vertical="top"/>
    </xf>
    <xf numFmtId="0" fontId="0" fillId="4" borderId="22" xfId="0" applyFill="1" applyBorder="1" applyAlignment="1">
      <alignment vertical="top"/>
    </xf>
    <xf numFmtId="0" fontId="0" fillId="4" borderId="20" xfId="0" applyFill="1" applyBorder="1" applyAlignment="1">
      <alignment vertical="top"/>
    </xf>
    <xf numFmtId="0" fontId="0" fillId="0" borderId="15" xfId="0" applyBorder="1" applyAlignment="1">
      <alignment horizontal="center"/>
    </xf>
    <xf numFmtId="0" fontId="2" fillId="0" borderId="15" xfId="0" applyFont="1" applyBorder="1" applyAlignment="1">
      <alignment horizontal="left" vertical="top" wrapText="1"/>
    </xf>
    <xf numFmtId="0" fontId="2" fillId="0" borderId="15" xfId="0" applyFont="1" applyBorder="1"/>
    <xf numFmtId="0" fontId="2" fillId="4" borderId="24" xfId="0" applyFont="1" applyFill="1" applyBorder="1" applyAlignment="1">
      <alignment vertical="top" wrapText="1"/>
    </xf>
    <xf numFmtId="0" fontId="2" fillId="0" borderId="15" xfId="0" applyFont="1" applyBorder="1" applyAlignment="1">
      <alignment vertical="top" wrapText="1"/>
    </xf>
    <xf numFmtId="0" fontId="2" fillId="3" borderId="24" xfId="0" applyFont="1" applyFill="1" applyBorder="1" applyAlignment="1">
      <alignment vertical="top" wrapText="1"/>
    </xf>
    <xf numFmtId="0" fontId="2" fillId="4" borderId="23" xfId="0" applyFont="1" applyFill="1" applyBorder="1" applyAlignment="1">
      <alignment vertical="top"/>
    </xf>
    <xf numFmtId="0" fontId="0" fillId="0" borderId="23" xfId="0" applyBorder="1" applyAlignment="1">
      <alignment vertical="top"/>
    </xf>
    <xf numFmtId="0" fontId="0" fillId="0" borderId="15" xfId="0" applyBorder="1" applyAlignment="1">
      <alignment vertical="top"/>
    </xf>
    <xf numFmtId="0" fontId="2" fillId="3" borderId="25" xfId="0" applyFont="1" applyFill="1" applyBorder="1" applyAlignment="1">
      <alignment vertical="top" wrapText="1"/>
    </xf>
    <xf numFmtId="4" fontId="0" fillId="0" borderId="18" xfId="0" applyNumberFormat="1" applyBorder="1" applyAlignment="1">
      <alignment horizontal="center"/>
    </xf>
    <xf numFmtId="2" fontId="2" fillId="4" borderId="26" xfId="0" applyNumberFormat="1" applyFont="1" applyFill="1" applyBorder="1" applyAlignment="1">
      <alignment horizontal="center"/>
    </xf>
    <xf numFmtId="2" fontId="2" fillId="0" borderId="18" xfId="0" applyNumberFormat="1" applyFont="1" applyBorder="1" applyAlignment="1">
      <alignment horizontal="center"/>
    </xf>
    <xf numFmtId="0" fontId="2" fillId="0" borderId="18" xfId="0" applyFont="1" applyBorder="1"/>
    <xf numFmtId="2" fontId="2" fillId="3" borderId="26" xfId="0" applyNumberFormat="1" applyFont="1" applyFill="1" applyBorder="1" applyAlignment="1">
      <alignment horizontal="center"/>
    </xf>
    <xf numFmtId="0" fontId="2" fillId="4" borderId="27" xfId="0" applyFont="1" applyFill="1" applyBorder="1"/>
    <xf numFmtId="0" fontId="2" fillId="4" borderId="21" xfId="0" applyFont="1" applyFill="1" applyBorder="1"/>
    <xf numFmtId="2" fontId="2" fillId="3" borderId="28" xfId="0" applyNumberFormat="1" applyFont="1" applyFill="1" applyBorder="1" applyAlignment="1">
      <alignment horizontal="center"/>
    </xf>
    <xf numFmtId="0" fontId="2" fillId="4" borderId="17" xfId="0" applyFont="1" applyFill="1" applyBorder="1"/>
    <xf numFmtId="0" fontId="2" fillId="4" borderId="18" xfId="0" applyFont="1" applyFill="1" applyBorder="1"/>
    <xf numFmtId="0" fontId="0" fillId="4" borderId="21" xfId="0" applyFill="1" applyBorder="1" applyAlignment="1">
      <alignment horizontal="center"/>
    </xf>
    <xf numFmtId="0" fontId="0" fillId="0" borderId="18" xfId="0" applyBorder="1" applyAlignment="1">
      <alignment horizontal="center"/>
    </xf>
    <xf numFmtId="0" fontId="0" fillId="0" borderId="29" xfId="0" applyBorder="1" applyAlignment="1">
      <alignment horizontal="center"/>
    </xf>
    <xf numFmtId="0" fontId="0" fillId="0" borderId="30" xfId="0" applyBorder="1"/>
    <xf numFmtId="1" fontId="2" fillId="4" borderId="31" xfId="0" applyNumberFormat="1" applyFont="1" applyFill="1" applyBorder="1" applyAlignment="1">
      <alignment horizontal="center"/>
    </xf>
    <xf numFmtId="1" fontId="2" fillId="0" borderId="30" xfId="0" applyNumberFormat="1" applyFont="1" applyBorder="1" applyAlignment="1">
      <alignment horizontal="center"/>
    </xf>
    <xf numFmtId="1" fontId="2" fillId="0" borderId="30" xfId="0" applyNumberFormat="1" applyFont="1" applyBorder="1"/>
    <xf numFmtId="1" fontId="2" fillId="3" borderId="31" xfId="0" applyNumberFormat="1" applyFont="1" applyFill="1" applyBorder="1" applyAlignment="1">
      <alignment horizontal="center"/>
    </xf>
    <xf numFmtId="0" fontId="2" fillId="4" borderId="32" xfId="0" applyFont="1" applyFill="1" applyBorder="1"/>
    <xf numFmtId="1" fontId="2" fillId="4" borderId="33" xfId="0" applyNumberFormat="1" applyFont="1" applyFill="1" applyBorder="1"/>
    <xf numFmtId="1" fontId="2" fillId="3" borderId="34" xfId="0" applyNumberFormat="1" applyFont="1" applyFill="1" applyBorder="1" applyAlignment="1">
      <alignment horizontal="center"/>
    </xf>
    <xf numFmtId="0" fontId="2" fillId="4" borderId="29" xfId="0" applyFont="1" applyFill="1" applyBorder="1"/>
    <xf numFmtId="0" fontId="2" fillId="4" borderId="30" xfId="0" applyFont="1" applyFill="1" applyBorder="1"/>
    <xf numFmtId="0" fontId="0" fillId="4" borderId="33" xfId="0" applyFill="1" applyBorder="1" applyAlignment="1">
      <alignment horizontal="center"/>
    </xf>
    <xf numFmtId="0" fontId="0" fillId="0" borderId="35" xfId="0" applyBorder="1" applyAlignment="1">
      <alignment horizontal="center"/>
    </xf>
    <xf numFmtId="0" fontId="2" fillId="2" borderId="9" xfId="0" applyFont="1" applyFill="1" applyBorder="1" applyAlignment="1">
      <alignment horizontal="center"/>
    </xf>
    <xf numFmtId="3" fontId="4" fillId="0" borderId="36" xfId="0" applyNumberFormat="1" applyFont="1" applyBorder="1" applyAlignment="1">
      <alignment horizontal="center"/>
    </xf>
    <xf numFmtId="3" fontId="2" fillId="2" borderId="36" xfId="0" applyNumberFormat="1" applyFont="1" applyFill="1" applyBorder="1" applyAlignment="1">
      <alignment horizontal="center"/>
    </xf>
    <xf numFmtId="0" fontId="7" fillId="0" borderId="0" xfId="0" applyFont="1" applyAlignment="1">
      <alignment horizontal="left"/>
    </xf>
    <xf numFmtId="0" fontId="8" fillId="0" borderId="0" xfId="0" applyFont="1" applyAlignment="1">
      <alignment horizontal="left"/>
    </xf>
    <xf numFmtId="0" fontId="7" fillId="0" borderId="0" xfId="0" quotePrefix="1" applyFont="1" applyAlignment="1">
      <alignment horizontal="left"/>
    </xf>
    <xf numFmtId="0" fontId="7" fillId="0" borderId="0" xfId="0" quotePrefix="1" applyFont="1" applyAlignment="1">
      <alignment vertical="top" wrapText="1"/>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quotePrefix="1" applyFont="1" applyAlignment="1">
      <alignment vertical="top"/>
    </xf>
    <xf numFmtId="3" fontId="0" fillId="0" borderId="7" xfId="0" applyNumberFormat="1" applyBorder="1" applyAlignment="1">
      <alignment horizontal="center"/>
    </xf>
    <xf numFmtId="0" fontId="7" fillId="0" borderId="0" xfId="0" quotePrefix="1" applyFont="1" applyAlignment="1">
      <alignment horizontal="left" vertical="top" wrapText="1"/>
    </xf>
    <xf numFmtId="0" fontId="2" fillId="0" borderId="6" xfId="0" applyFont="1" applyFill="1" applyBorder="1" applyAlignment="1">
      <alignment vertical="top" wrapText="1"/>
    </xf>
    <xf numFmtId="1" fontId="12" fillId="8" borderId="6" xfId="0" applyNumberFormat="1" applyFont="1" applyFill="1" applyBorder="1" applyAlignment="1">
      <alignment vertical="top"/>
    </xf>
    <xf numFmtId="0" fontId="12" fillId="8" borderId="9" xfId="0" applyFont="1" applyFill="1" applyBorder="1" applyAlignment="1">
      <alignment horizontal="center" vertical="top" wrapText="1"/>
    </xf>
    <xf numFmtId="0" fontId="12" fillId="8" borderId="6" xfId="0" applyFont="1" applyFill="1" applyBorder="1" applyAlignment="1">
      <alignment vertical="top" wrapText="1"/>
    </xf>
    <xf numFmtId="3" fontId="0" fillId="0" borderId="7" xfId="0" applyNumberFormat="1" applyFont="1" applyBorder="1" applyAlignment="1">
      <alignment horizontal="center"/>
    </xf>
    <xf numFmtId="3" fontId="0" fillId="0" borderId="31" xfId="0" applyNumberFormat="1" applyFont="1" applyBorder="1" applyAlignment="1">
      <alignment horizontal="center"/>
    </xf>
    <xf numFmtId="3" fontId="0" fillId="0" borderId="34" xfId="0" applyNumberFormat="1" applyFont="1" applyBorder="1" applyAlignment="1">
      <alignment horizontal="center"/>
    </xf>
    <xf numFmtId="0" fontId="2" fillId="9" borderId="1" xfId="0" applyFont="1" applyFill="1" applyBorder="1"/>
    <xf numFmtId="3" fontId="2" fillId="9" borderId="10" xfId="0" applyNumberFormat="1" applyFont="1" applyFill="1" applyBorder="1"/>
    <xf numFmtId="3" fontId="2" fillId="9" borderId="2" xfId="0" applyNumberFormat="1" applyFont="1" applyFill="1" applyBorder="1"/>
    <xf numFmtId="0" fontId="2" fillId="9" borderId="3" xfId="0" applyFont="1" applyFill="1" applyBorder="1"/>
    <xf numFmtId="164" fontId="2" fillId="9" borderId="11" xfId="0" applyNumberFormat="1" applyFont="1" applyFill="1" applyBorder="1"/>
    <xf numFmtId="164" fontId="2" fillId="9" borderId="4" xfId="0" applyNumberFormat="1" applyFont="1" applyFill="1" applyBorder="1"/>
    <xf numFmtId="0" fontId="13" fillId="0" borderId="0" xfId="0" applyFont="1"/>
    <xf numFmtId="0" fontId="7" fillId="0" borderId="0" xfId="0" quotePrefix="1" applyFont="1" applyAlignment="1">
      <alignment horizontal="left" vertical="top" wrapText="1"/>
    </xf>
    <xf numFmtId="0" fontId="11" fillId="7" borderId="1"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7" fillId="0" borderId="0" xfId="0" quotePrefix="1" applyFont="1" applyAlignment="1">
      <alignment vertical="center"/>
    </xf>
    <xf numFmtId="0" fontId="7" fillId="0" borderId="0" xfId="0" applyFont="1" applyAlignment="1">
      <alignment vertical="center"/>
    </xf>
    <xf numFmtId="0" fontId="0" fillId="0" borderId="0" xfId="0" applyAlignment="1"/>
    <xf numFmtId="0" fontId="2" fillId="2" borderId="17" xfId="0" applyFont="1" applyFill="1" applyBorder="1" applyAlignment="1">
      <alignment vertical="top" wrapText="1"/>
    </xf>
    <xf numFmtId="0" fontId="2" fillId="2" borderId="21" xfId="0" applyFont="1" applyFill="1" applyBorder="1" applyAlignment="1">
      <alignment vertical="top" wrapText="1"/>
    </xf>
    <xf numFmtId="3" fontId="0" fillId="0" borderId="32" xfId="0" applyNumberFormat="1" applyFont="1" applyBorder="1" applyAlignment="1">
      <alignment horizontal="center"/>
    </xf>
    <xf numFmtId="0" fontId="2" fillId="0" borderId="33" xfId="0" applyFont="1" applyBorder="1" applyAlignment="1">
      <alignment horizontal="center"/>
    </xf>
    <xf numFmtId="0" fontId="2" fillId="4" borderId="23" xfId="0" applyFont="1" applyFill="1" applyBorder="1" applyAlignment="1">
      <alignment horizontal="left" vertical="top" wrapText="1"/>
    </xf>
    <xf numFmtId="0" fontId="2" fillId="4" borderId="20" xfId="0" applyFont="1" applyFill="1" applyBorder="1" applyAlignment="1">
      <alignment horizontal="left" vertical="top" wrapText="1"/>
    </xf>
    <xf numFmtId="3" fontId="0" fillId="4" borderId="29" xfId="0" applyNumberFormat="1" applyFont="1" applyFill="1" applyBorder="1" applyAlignment="1">
      <alignment horizontal="center"/>
    </xf>
    <xf numFmtId="0" fontId="0" fillId="4" borderId="35" xfId="0" applyFill="1" applyBorder="1" applyAlignment="1">
      <alignment horizontal="center"/>
    </xf>
    <xf numFmtId="4" fontId="2" fillId="4" borderId="27" xfId="0" applyNumberFormat="1" applyFont="1" applyFill="1" applyBorder="1" applyAlignment="1">
      <alignment horizontal="center"/>
    </xf>
    <xf numFmtId="4" fontId="0" fillId="4" borderId="21" xfId="0" applyNumberFormat="1" applyFill="1" applyBorder="1" applyAlignment="1">
      <alignment horizontal="center"/>
    </xf>
    <xf numFmtId="3" fontId="0" fillId="0" borderId="32" xfId="0" applyNumberFormat="1" applyBorder="1" applyAlignment="1">
      <alignment horizontal="center"/>
    </xf>
    <xf numFmtId="3" fontId="0" fillId="4" borderId="29" xfId="0" applyNumberFormat="1" applyFill="1" applyBorder="1" applyAlignment="1">
      <alignment horizontal="center"/>
    </xf>
  </cellXfs>
  <cellStyles count="1">
    <cellStyle name="Normaali" xfId="0" builtinId="0"/>
  </cellStyles>
  <dxfs count="85">
    <dxf>
      <font>
        <b/>
        <i val="0"/>
        <strike val="0"/>
        <condense val="0"/>
        <extend val="0"/>
        <outline val="0"/>
        <shadow val="0"/>
        <u val="none"/>
        <vertAlign val="baseline"/>
        <sz val="10"/>
        <color auto="1"/>
        <name val="Arial"/>
        <family val="2"/>
        <scheme val="none"/>
      </font>
      <numFmt numFmtId="3" formatCode="#,##0"/>
      <alignment horizontal="center" vertical="bottom" textRotation="0" wrapText="0" indent="0" justifyLastLine="0" shrinkToFit="0" readingOrder="0"/>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fill>
        <patternFill patternType="solid">
          <fgColor indexed="64"/>
          <bgColor rgb="FF92D050"/>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solid">
          <fgColor indexed="64"/>
          <bgColor rgb="FF92D050"/>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right style="medium">
          <color indexed="64"/>
        </right>
        <top/>
        <bottom/>
        <vertical/>
        <horizontal/>
      </border>
    </dxf>
    <dxf>
      <border diagonalUp="0" diagonalDown="0">
        <left style="medium">
          <color theme="1"/>
        </left>
        <right style="medium">
          <color theme="1"/>
        </right>
        <top style="medium">
          <color theme="1"/>
        </top>
        <bottom style="medium">
          <color theme="1"/>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fill>
        <patternFill patternType="solid">
          <fgColor indexed="64"/>
          <bgColor rgb="FF92D050"/>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solid">
          <fgColor indexed="64"/>
          <bgColor rgb="FF92D050"/>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right style="medium">
          <color indexed="64"/>
        </right>
        <top/>
        <bottom/>
        <vertical/>
        <horizontal/>
      </border>
    </dxf>
    <dxf>
      <border diagonalUp="0" diagonalDown="0">
        <left style="medium">
          <color theme="1"/>
        </left>
        <right style="medium">
          <color theme="1"/>
        </right>
        <top style="medium">
          <color theme="1"/>
        </top>
        <bottom style="medium">
          <color theme="1"/>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fill>
        <patternFill patternType="solid">
          <fgColor indexed="64"/>
          <bgColor rgb="FF92D050"/>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solid">
          <fgColor indexed="64"/>
          <bgColor rgb="FF92D050"/>
        </patternFill>
      </fill>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right style="medium">
          <color indexed="64"/>
        </right>
        <top/>
        <bottom/>
        <vertical/>
        <horizontal/>
      </border>
    </dxf>
    <dxf>
      <border diagonalUp="0" diagonalDown="0">
        <left style="medium">
          <color theme="1"/>
        </left>
        <right style="medium">
          <color theme="1"/>
        </right>
        <top style="medium">
          <color theme="1"/>
        </top>
        <bottom style="medium">
          <color theme="1"/>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style="medium">
          <color indexed="64"/>
        </left>
        <right style="medium">
          <color indexed="64"/>
        </right>
        <top/>
        <bottom/>
      </border>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i val="0"/>
        <strike val="0"/>
        <condense val="0"/>
        <extend val="0"/>
        <outline val="0"/>
        <shadow val="0"/>
        <u val="none"/>
        <vertAlign val="baseline"/>
        <sz val="10"/>
        <color auto="1"/>
        <name val="Arial"/>
        <family val="2"/>
        <scheme val="none"/>
      </font>
      <border diagonalUp="0" diagonalDown="0">
        <left/>
        <right style="medium">
          <color indexed="64"/>
        </right>
        <top/>
        <bottom/>
        <vertical/>
        <horizontal/>
      </border>
    </dxf>
    <dxf>
      <border outline="0">
        <top style="medium">
          <color indexed="64"/>
        </top>
      </border>
    </dxf>
    <dxf>
      <border outline="0">
        <bottom style="thin">
          <color theme="4" tint="0.39997558519241921"/>
        </bottom>
      </border>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general" vertical="top"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300009</xdr:colOff>
      <xdr:row>22</xdr:row>
      <xdr:rowOff>69383</xdr:rowOff>
    </xdr:from>
    <xdr:to>
      <xdr:col>13</xdr:col>
      <xdr:colOff>493236</xdr:colOff>
      <xdr:row>23</xdr:row>
      <xdr:rowOff>155946</xdr:rowOff>
    </xdr:to>
    <xdr:sp macro="" textlink="">
      <xdr:nvSpPr>
        <xdr:cNvPr id="4" name="Ylänuoli 1">
          <a:extLst>
            <a:ext uri="{FF2B5EF4-FFF2-40B4-BE49-F238E27FC236}">
              <a16:creationId xmlns:a16="http://schemas.microsoft.com/office/drawing/2014/main" id="{D5DD02C4-1FB3-42ED-90A5-2AC0FC2084A0}"/>
            </a:ext>
          </a:extLst>
        </xdr:cNvPr>
        <xdr:cNvSpPr/>
      </xdr:nvSpPr>
      <xdr:spPr>
        <a:xfrm rot="10800000">
          <a:off x="12295159" y="5282733"/>
          <a:ext cx="193227" cy="28341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22</xdr:col>
      <xdr:colOff>337874</xdr:colOff>
      <xdr:row>22</xdr:row>
      <xdr:rowOff>56916</xdr:rowOff>
    </xdr:from>
    <xdr:to>
      <xdr:col>22</xdr:col>
      <xdr:colOff>531101</xdr:colOff>
      <xdr:row>23</xdr:row>
      <xdr:rowOff>143479</xdr:rowOff>
    </xdr:to>
    <xdr:sp macro="" textlink="">
      <xdr:nvSpPr>
        <xdr:cNvPr id="5" name="Ylänuoli 3">
          <a:extLst>
            <a:ext uri="{FF2B5EF4-FFF2-40B4-BE49-F238E27FC236}">
              <a16:creationId xmlns:a16="http://schemas.microsoft.com/office/drawing/2014/main" id="{7D8CDDD6-F7FA-4584-A7ED-F570658CC197}"/>
            </a:ext>
          </a:extLst>
        </xdr:cNvPr>
        <xdr:cNvSpPr/>
      </xdr:nvSpPr>
      <xdr:spPr>
        <a:xfrm rot="10800000">
          <a:off x="20505474" y="5270266"/>
          <a:ext cx="193227" cy="28341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300009</xdr:colOff>
      <xdr:row>23</xdr:row>
      <xdr:rowOff>69383</xdr:rowOff>
    </xdr:from>
    <xdr:to>
      <xdr:col>13</xdr:col>
      <xdr:colOff>493236</xdr:colOff>
      <xdr:row>24</xdr:row>
      <xdr:rowOff>155946</xdr:rowOff>
    </xdr:to>
    <xdr:sp macro="" textlink="">
      <xdr:nvSpPr>
        <xdr:cNvPr id="6" name="Ylänuoli 1">
          <a:extLst>
            <a:ext uri="{FF2B5EF4-FFF2-40B4-BE49-F238E27FC236}">
              <a16:creationId xmlns:a16="http://schemas.microsoft.com/office/drawing/2014/main" id="{5B1880BE-28B6-4FAE-A59E-FEBFD5BDAAE8}"/>
            </a:ext>
          </a:extLst>
        </xdr:cNvPr>
        <xdr:cNvSpPr/>
      </xdr:nvSpPr>
      <xdr:spPr>
        <a:xfrm rot="10800000">
          <a:off x="12295159" y="5085883"/>
          <a:ext cx="193227" cy="28341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22</xdr:col>
      <xdr:colOff>337874</xdr:colOff>
      <xdr:row>23</xdr:row>
      <xdr:rowOff>56916</xdr:rowOff>
    </xdr:from>
    <xdr:to>
      <xdr:col>22</xdr:col>
      <xdr:colOff>531101</xdr:colOff>
      <xdr:row>24</xdr:row>
      <xdr:rowOff>143479</xdr:rowOff>
    </xdr:to>
    <xdr:sp macro="" textlink="">
      <xdr:nvSpPr>
        <xdr:cNvPr id="7" name="Ylänuoli 3">
          <a:extLst>
            <a:ext uri="{FF2B5EF4-FFF2-40B4-BE49-F238E27FC236}">
              <a16:creationId xmlns:a16="http://schemas.microsoft.com/office/drawing/2014/main" id="{9CB6E88F-1B9C-4FAF-934A-F957186BC19D}"/>
            </a:ext>
          </a:extLst>
        </xdr:cNvPr>
        <xdr:cNvSpPr/>
      </xdr:nvSpPr>
      <xdr:spPr>
        <a:xfrm rot="10800000">
          <a:off x="20505474" y="5073416"/>
          <a:ext cx="193227" cy="28341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300009</xdr:colOff>
      <xdr:row>22</xdr:row>
      <xdr:rowOff>69383</xdr:rowOff>
    </xdr:from>
    <xdr:to>
      <xdr:col>13</xdr:col>
      <xdr:colOff>493236</xdr:colOff>
      <xdr:row>23</xdr:row>
      <xdr:rowOff>155946</xdr:rowOff>
    </xdr:to>
    <xdr:sp macro="" textlink="">
      <xdr:nvSpPr>
        <xdr:cNvPr id="10" name="Ylänuoli 1">
          <a:extLst>
            <a:ext uri="{FF2B5EF4-FFF2-40B4-BE49-F238E27FC236}">
              <a16:creationId xmlns:a16="http://schemas.microsoft.com/office/drawing/2014/main" id="{9E55FCDC-9FAA-47FD-B69D-464DA57E4886}"/>
            </a:ext>
          </a:extLst>
        </xdr:cNvPr>
        <xdr:cNvSpPr/>
      </xdr:nvSpPr>
      <xdr:spPr>
        <a:xfrm rot="10800000">
          <a:off x="12295159" y="5085883"/>
          <a:ext cx="193227" cy="28341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22</xdr:col>
      <xdr:colOff>337874</xdr:colOff>
      <xdr:row>22</xdr:row>
      <xdr:rowOff>56916</xdr:rowOff>
    </xdr:from>
    <xdr:to>
      <xdr:col>22</xdr:col>
      <xdr:colOff>531101</xdr:colOff>
      <xdr:row>23</xdr:row>
      <xdr:rowOff>143479</xdr:rowOff>
    </xdr:to>
    <xdr:sp macro="" textlink="">
      <xdr:nvSpPr>
        <xdr:cNvPr id="11" name="Ylänuoli 3">
          <a:extLst>
            <a:ext uri="{FF2B5EF4-FFF2-40B4-BE49-F238E27FC236}">
              <a16:creationId xmlns:a16="http://schemas.microsoft.com/office/drawing/2014/main" id="{92D75B88-A8BB-48C8-80FE-C17CCB3D6B65}"/>
            </a:ext>
          </a:extLst>
        </xdr:cNvPr>
        <xdr:cNvSpPr/>
      </xdr:nvSpPr>
      <xdr:spPr>
        <a:xfrm rot="10800000">
          <a:off x="20505474" y="5073416"/>
          <a:ext cx="193227" cy="28341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4A7337-68C9-4AAB-BC81-E42E38E19BD5}" name="Taulukko1" displayName="Taulukko1" ref="B33:F43" totalsRowShown="0" headerRowDxfId="84" headerRowBorderDxfId="83" tableBorderDxfId="82">
  <autoFilter ref="B33:F43" xr:uid="{D24A7337-68C9-4AAB-BC81-E42E38E19BD5}"/>
  <tableColumns count="5">
    <tableColumn id="1" xr3:uid="{CC2B79B3-9DFA-461D-B217-B72B6C730CC1}" name="Henkilö" dataDxfId="81"/>
    <tableColumn id="2" xr3:uid="{11525493-09F0-430E-B493-2D4BF8450A94}" name="Korotus paikallisesta järjestelyerästä (0,4%)" dataDxfId="80" totalsRowDxfId="79">
      <calculatedColumnFormula>'Järjestelyerä (0,4 %)'!W34-'Järjestelyerä (0,4 %)'!N34</calculatedColumnFormula>
    </tableColumn>
    <tableColumn id="3" xr3:uid="{54A819E5-2F25-48E9-AC1D-3225AAF3CF89}" name="Korotus paikallisen järjestelyerän ylimenevästä osuudesta (perälauta)" dataDxfId="78" totalsRowDxfId="77">
      <calculatedColumnFormula>'Järjestelyerän perälauta (0,3%)'!W35-'Järjestelyerän perälauta (0,3%)'!N35</calculatedColumnFormula>
    </tableColumn>
    <tableColumn id="4" xr3:uid="{9F376BEF-0835-4670-9EBF-1BFBEB926DAB}" name="Korotus kehittämisohjelmaerästä" dataDxfId="76" totalsRowDxfId="75">
      <calculatedColumnFormula>'Kehittämisohjelmaerä 1,2%'!W34-'Kehittämisohjelmaerä 1,2%'!N34</calculatedColumnFormula>
    </tableColumn>
    <tableColumn id="5" xr3:uid="{F867DDAA-334A-42F8-BC3A-0C04811F833F}" name="Yhteensä" dataDxfId="74" totalsRowDxfId="73">
      <calculatedColumnFormula>SUM(Taulukko1[[#This Row],[Korotus paikallisesta järjestelyerästä (0,4%)]:[Korotus kehittämisohjelmaerästä]])</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2C2AB59-A161-496D-BAB3-42E7E78442EB}" name="Järjestelyerätaulukko" displayName="Järjestelyerätaulukko" ref="B33:W43" totalsRowShown="0" headerRowDxfId="72" tableBorderDxfId="71">
  <autoFilter ref="B33:W43" xr:uid="{E2C2AB59-A161-496D-BAB3-42E7E78442EB}"/>
  <tableColumns count="22">
    <tableColumn id="1" xr3:uid="{F3BEAF8A-B93D-4B56-A52B-C27C42E45473}" name="Henkilö" dataDxfId="70"/>
    <tableColumn id="2" xr3:uid="{C05D4C68-501F-49D2-A24D-D1EE7175166B}" name="Tehtävä" dataDxfId="69"/>
    <tableColumn id="3" xr3:uid="{29BA6D25-A20A-48E7-BE49-8E42E1ADA302}" name="Tehtävä-    kohtaisen palkan   korotus" dataDxfId="68"/>
    <tableColumn id="4" xr3:uid="{A01E0B0D-B7ED-498A-82DD-75B41E12CB31}" name="Henkilö-   kohtaisen lisän korotus" dataDxfId="67"/>
    <tableColumn id="5" xr3:uid="{B0611038-635D-48B8-8DCD-F13DFFE3B738}" name="1. Tehtävä-    kohtainen palkka" dataDxfId="66"/>
    <tableColumn id="6" xr3:uid="{45C57242-39D7-4566-B21A-1F4F14C4579B}" name="2. Henkilö-   kohtainen lisä" dataDxfId="65"/>
    <tableColumn id="7" xr3:uid="{696335A3-5538-4859-9F90-F36119513A5C}" name="3. Työkokemus-lisäprosentti" dataDxfId="64"/>
    <tableColumn id="8" xr3:uid="{C0D52303-0EF8-4D8B-9CA4-008ECE288398}" name="4. Työkoke-  muslisä, auto- maattinen lisä (**)" dataDxfId="63">
      <calculatedColumnFormula>F34*(H34/100)</calculatedColumnFormula>
    </tableColumn>
    <tableColumn id="9" xr3:uid="{D805CA02-6688-4E30-BBBE-2A5A97DF90A1}" name="5. Muut varsinaisen palkan lisät, ei-auto- maattisia lisiä (****)" dataDxfId="62"/>
    <tableColumn id="10" xr3:uid="{099154E8-0397-4888-8340-03380E4C3980}" name="6. Varsinainen palkka" dataDxfId="61">
      <calculatedColumnFormula>F34+G34+I34+J34</calculatedColumnFormula>
    </tableColumn>
    <tableColumn id="11" xr3:uid="{208E030A-E553-4C1C-BBD9-990784999F83}" name="7. Muut kuin kohdan 4 euro-    määräiset lisät (****)" dataDxfId="60"/>
    <tableColumn id="12" xr3:uid="{8D3A31AB-7EB0-437A-ADB6-7F20A40818AD}" name="8. Työaika-   korvaukset, auto-   maattisia lisiä (***)" dataDxfId="59"/>
    <tableColumn id="13" xr3:uid="{A741F302-48FC-4B62-BFBD-6891521BD4D8}" name="9. Kokonais-ansio" dataDxfId="58">
      <calculatedColumnFormula>SUM(K34:M34)</calculatedColumnFormula>
    </tableColumn>
    <tableColumn id="14" xr3:uid="{63475797-EF90-4F99-8013-4575CB5CE11A}" name="11. Tehtävä-    kohtainen palkka" dataDxfId="57">
      <calculatedColumnFormula>F34+D34</calculatedColumnFormula>
    </tableColumn>
    <tableColumn id="15" xr3:uid="{CDB3AEED-93B1-44B6-A5D1-43ADBAB176EC}" name="12. Henkilö-   kohtainen lisä" dataDxfId="56">
      <calculatedColumnFormula>G34+E34</calculatedColumnFormula>
    </tableColumn>
    <tableColumn id="16" xr3:uid="{4F11FA97-8807-497C-86D1-C5C2EA8CEA81}" name="13. Työkokemus-lisäprosentti" dataDxfId="55">
      <calculatedColumnFormula>H34</calculatedColumnFormula>
    </tableColumn>
    <tableColumn id="17" xr3:uid="{19C62708-932A-43AF-A786-B0AB4EE089D2}" name="14. Työkoke-  muslisä, auto- maattinen lisä (**)" dataDxfId="54">
      <calculatedColumnFormula>O34*(Q34/100)</calculatedColumnFormula>
    </tableColumn>
    <tableColumn id="18" xr3:uid="{9F365EEE-6FB9-435D-B320-BBD0C203D808}" name="15. Muut varsinaisen palkan lisät, ei-auto- maattisia lisiä (****)" dataDxfId="53">
      <calculatedColumnFormula>J34</calculatedColumnFormula>
    </tableColumn>
    <tableColumn id="19" xr3:uid="{9B147136-B23F-443D-A783-28CAE9C00C21}" name="16. Varsinainen palkka" dataDxfId="52">
      <calculatedColumnFormula>O34+P34+R34+S34</calculatedColumnFormula>
    </tableColumn>
    <tableColumn id="20" xr3:uid="{07B4E435-B886-4564-AF3C-DA68BB899FFD}" name="17. Muut kuin kohdan 4 euro-    määräiset lisät (****)" dataDxfId="51">
      <calculatedColumnFormula>L34</calculatedColumnFormula>
    </tableColumn>
    <tableColumn id="21" xr3:uid="{C1D6DE30-F53E-4BFB-AFC3-1B4A33811F8E}" name="18. Työaika-   korvaukset, auto-   maattisia lisiä (***)" dataDxfId="50">
      <calculatedColumnFormula>(T34/K34*M34)</calculatedColumnFormula>
    </tableColumn>
    <tableColumn id="22" xr3:uid="{7F951D85-3CE2-48DB-9AA9-AAA6860B39BF}" name="19. Kokonais-ansio" dataDxfId="49">
      <calculatedColumnFormula>SUM(T34:V34)</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A075AD0-2B25-43A4-A578-6F5644EB9052}" name="Järjestelyerätaulukko11" displayName="Järjestelyerätaulukko11" ref="B34:W44" totalsRowShown="0" headerRowDxfId="48" tableBorderDxfId="47">
  <autoFilter ref="B34:W44" xr:uid="{0A075AD0-2B25-43A4-A578-6F5644EB9052}"/>
  <tableColumns count="22">
    <tableColumn id="1" xr3:uid="{D1E1B137-205B-406E-B6B2-0BA39B6C91CA}" name="Henkilö" dataDxfId="46"/>
    <tableColumn id="2" xr3:uid="{BCC748EF-6CFD-48A3-AA58-13133D0E0FF6}" name="Tehtävä" dataDxfId="45"/>
    <tableColumn id="3" xr3:uid="{885091EA-5FD1-4C95-947C-E9E04E6C7C80}" name="Tehtävä-    kohtaisen palkan   korotus" dataDxfId="44"/>
    <tableColumn id="4" xr3:uid="{EA2CE7CD-EAD8-4A5A-B72B-FCFE597E87B4}" name="Henkilö-   kohtaisen lisän korotus" dataDxfId="43"/>
    <tableColumn id="5" xr3:uid="{F0132A17-AEE6-414A-8005-280E7D36118E}" name="1. Tehtävä-    kohtainen palkka" dataDxfId="42"/>
    <tableColumn id="6" xr3:uid="{5646EABA-83A1-40D7-B5F6-26FFE4192943}" name="2. Henkilö-   kohtainen lisä" dataDxfId="41"/>
    <tableColumn id="7" xr3:uid="{AF747D2A-370D-4B9F-9656-6FD2051003D2}" name="3. Työkokemus-lisäprosentti" dataDxfId="40"/>
    <tableColumn id="8" xr3:uid="{CC8F44B6-9643-4525-98F0-2067A99541E9}" name="4. Työkoke-  muslisä, auto- maattinen lisä (**)" dataDxfId="39">
      <calculatedColumnFormula>F35*(H35/100)</calculatedColumnFormula>
    </tableColumn>
    <tableColumn id="9" xr3:uid="{69B26D17-D35D-4C71-B53C-620CDB512DA3}" name="5. Muut varsinaisen palkan lisät, ei-auto- maattisia lisiä (****)" dataDxfId="38"/>
    <tableColumn id="10" xr3:uid="{644482AF-73BC-451C-83B6-792DB2CC63A1}" name="6. Varsinainen palkka" dataDxfId="37">
      <calculatedColumnFormula>F35+G35+I35+J35</calculatedColumnFormula>
    </tableColumn>
    <tableColumn id="11" xr3:uid="{547E4EC4-9D90-49B1-A244-3074922F91B8}" name="7. Muut kuin kohdan 4 euro-    määräiset lisät (****)" dataDxfId="36"/>
    <tableColumn id="12" xr3:uid="{37EF4A13-B2AE-46B2-AD4E-B13F55F18F93}" name="8. Työaika-   korvaukset, auto-   maattisia lisiä (***)" dataDxfId="35"/>
    <tableColumn id="13" xr3:uid="{B08DA229-18F6-4782-A1DB-15C8267664FA}" name="9. Kokonais-ansio" dataDxfId="34">
      <calculatedColumnFormula>SUM(K35:M35)</calculatedColumnFormula>
    </tableColumn>
    <tableColumn id="14" xr3:uid="{448E78DE-99D2-4734-A7BC-99FCBEBA75C4}" name="11. Tehtävä-    kohtainen palkka" dataDxfId="33">
      <calculatedColumnFormula>F35+D35</calculatedColumnFormula>
    </tableColumn>
    <tableColumn id="15" xr3:uid="{447CF34B-736F-4B47-90B7-8B484C77A68F}" name="12. Henkilö-   kohtainen lisä" dataDxfId="32">
      <calculatedColumnFormula>G35+E35</calculatedColumnFormula>
    </tableColumn>
    <tableColumn id="16" xr3:uid="{39F199DD-B7CD-42CE-BCB3-C720D00C6319}" name="13. Työkokemus-lisäprosentti" dataDxfId="31">
      <calculatedColumnFormula>H35</calculatedColumnFormula>
    </tableColumn>
    <tableColumn id="17" xr3:uid="{EF40F010-8D50-4BB7-AD2E-9DB876DC1763}" name="14. Työkoke-  muslisä, auto- maattinen lisä (**)" dataDxfId="30">
      <calculatedColumnFormula>O35*(Q35/100)</calculatedColumnFormula>
    </tableColumn>
    <tableColumn id="18" xr3:uid="{916A8042-29E5-495E-85D5-E50E3D90B846}" name="15. Muut varsinaisen palkan lisät, ei-auto- maattisia lisiä (****)" dataDxfId="29">
      <calculatedColumnFormula>J35</calculatedColumnFormula>
    </tableColumn>
    <tableColumn id="19" xr3:uid="{CDDAB9F5-9BCD-4CAD-A052-6F581B14DD1B}" name="16. Varsinainen palkka" dataDxfId="28">
      <calculatedColumnFormula>O35+P35+R35+S35</calculatedColumnFormula>
    </tableColumn>
    <tableColumn id="20" xr3:uid="{1A1FA795-583B-4029-AB16-E078890D8F5B}" name="17. Muut kuin kohdan 4 euro-    määräiset lisät (****)" dataDxfId="27">
      <calculatedColumnFormula>L35</calculatedColumnFormula>
    </tableColumn>
    <tableColumn id="21" xr3:uid="{492CB0EA-BE98-4FA9-ADAF-905C239A91F8}" name="18. Työaika-   korvaukset, auto-   maattisia lisiä (***)" dataDxfId="26">
      <calculatedColumnFormula>(T35/K35*M35)</calculatedColumnFormula>
    </tableColumn>
    <tableColumn id="22" xr3:uid="{A6E55260-1BAC-4B75-B88D-36E217BFD941}" name="19. Kokonais-ansio" dataDxfId="25">
      <calculatedColumnFormula>SUM(T35:V35)</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B35A76B-55C0-4D1C-8193-C0CEF0AEF967}" name="Järjestelyerätaulukko1113" displayName="Järjestelyerätaulukko1113" ref="B33:X43" totalsRowShown="0" headerRowDxfId="24" tableBorderDxfId="23">
  <autoFilter ref="B33:X43" xr:uid="{0B35A76B-55C0-4D1C-8193-C0CEF0AEF967}"/>
  <tableColumns count="23">
    <tableColumn id="1" xr3:uid="{B5C65B38-BF42-4BFE-8C39-7EF2058DC74F}" name="Henkilö" dataDxfId="22"/>
    <tableColumn id="2" xr3:uid="{7A45AE49-BAA9-4250-9C28-6036C4EDA7CB}" name="Tehtävä" dataDxfId="21"/>
    <tableColumn id="3" xr3:uid="{8FAB2CA0-5544-476E-A388-F1571D99FD38}" name="Tehtävä-    kohtaisen palkan   korotus" dataDxfId="20"/>
    <tableColumn id="4" xr3:uid="{637D6839-0B96-4AB0-9541-9AC9D7C343B2}" name="Henkilö-   kohtaisen lisän korotus" dataDxfId="19"/>
    <tableColumn id="5" xr3:uid="{19B3DA52-F1A3-49F2-B55C-E7CB0B3401E7}" name="1. Tehtävä-    kohtainen palkka" dataDxfId="18"/>
    <tableColumn id="6" xr3:uid="{4714A1A7-D311-48B5-886C-AAD90411E6E7}" name="2. Henkilö-   kohtainen lisä" dataDxfId="17"/>
    <tableColumn id="7" xr3:uid="{7251885E-0EAD-486E-8995-08BF1F756DB0}" name="3. Työkokemus-lisäprosentti" dataDxfId="16"/>
    <tableColumn id="8" xr3:uid="{67D4327E-EF9C-49FE-BC2B-55CE992FEC40}" name="4. Työkoke-  muslisä, auto- maattinen lisä (**)" dataDxfId="15">
      <calculatedColumnFormula>F34*(H34/100)</calculatedColumnFormula>
    </tableColumn>
    <tableColumn id="9" xr3:uid="{B0872009-EDFB-497E-8B15-7348B823E67B}" name="5. Muut varsinaisen palkan lisät, ei-auto- maattisia lisiä (****)" dataDxfId="14"/>
    <tableColumn id="10" xr3:uid="{D5257E11-2BC2-42A1-8F5D-E56A27764119}" name="6. Varsinainen palkka" dataDxfId="13">
      <calculatedColumnFormula>F34+G34+I34+J34</calculatedColumnFormula>
    </tableColumn>
    <tableColumn id="11" xr3:uid="{EA09D11A-4450-4A45-9F49-E90CE584C9BB}" name="7. Muut kuin kohdan 4 euro-    määräiset lisät (****)" dataDxfId="12"/>
    <tableColumn id="12" xr3:uid="{882FBAC8-868F-451D-AABA-AE4B4C2EFFC0}" name="8. Työaika-   korvaukset, auto-   maattisia lisiä (***)" dataDxfId="11"/>
    <tableColumn id="13" xr3:uid="{6FE3A3F1-4000-4B65-9DD5-5A3C0AD561C0}" name="9. Kokonais-ansio" dataDxfId="10">
      <calculatedColumnFormula>SUM(K34:M34)</calculatedColumnFormula>
    </tableColumn>
    <tableColumn id="14" xr3:uid="{7346EBE9-7DAE-459E-AA76-6E815133F2BB}" name="11. Tehtävä-    kohtainen palkka" dataDxfId="9">
      <calculatedColumnFormula>F34+D34</calculatedColumnFormula>
    </tableColumn>
    <tableColumn id="15" xr3:uid="{2D4C6F66-AB76-41E9-862C-5F6E4B40A6C8}" name="12. Henkilö-   kohtainen lisä" dataDxfId="8">
      <calculatedColumnFormula>G34+E34</calculatedColumnFormula>
    </tableColumn>
    <tableColumn id="16" xr3:uid="{9B18F0C2-FD6D-4FE0-89BC-5EF547E8B8F8}" name="13. Työkokemus-lisäprosentti" dataDxfId="7">
      <calculatedColumnFormula>H34</calculatedColumnFormula>
    </tableColumn>
    <tableColumn id="17" xr3:uid="{BAC2C12A-DFB9-4492-BF81-544D04A06F2B}" name="14. Työkoke-  muslisä, auto- maattinen lisä (**)" dataDxfId="6">
      <calculatedColumnFormula>O34*(Q34/100)</calculatedColumnFormula>
    </tableColumn>
    <tableColumn id="18" xr3:uid="{6CA7E85D-0936-48CA-92E9-952DF0A4A1A8}" name="15. Muut varsinaisen palkan lisät, ei-auto- maattisia lisiä (****)" dataDxfId="5">
      <calculatedColumnFormula>J34</calculatedColumnFormula>
    </tableColumn>
    <tableColumn id="19" xr3:uid="{BF31C6C4-47E2-4CAF-9B69-0F62E22F6102}" name="16. Varsinainen palkka" dataDxfId="4">
      <calculatedColumnFormula>O34+P34+R34+S34</calculatedColumnFormula>
    </tableColumn>
    <tableColumn id="20" xr3:uid="{BBB20F29-2E52-4FF8-BE82-B2A8A9B6808F}" name="17. Muut kuin kohdan 4 euro-    määräiset lisät (****)" dataDxfId="3">
      <calculatedColumnFormula>L34</calculatedColumnFormula>
    </tableColumn>
    <tableColumn id="21" xr3:uid="{882819A2-8F86-4A30-9CFE-946C0F0E8841}" name="18. Työaika-   korvaukset, auto-   maattisia lisiä (***)" dataDxfId="2">
      <calculatedColumnFormula>(T34/K34*M34)</calculatedColumnFormula>
    </tableColumn>
    <tableColumn id="22" xr3:uid="{F21D6F3E-8B43-4C04-AD7B-BAF224B08C1E}" name="19. Kokonais-ansio" dataDxfId="1">
      <calculatedColumnFormula>SUM(T34:V34)</calculatedColumnFormula>
    </tableColumn>
    <tableColumn id="23" xr3:uid="{C433C1D3-A9F5-4CC9-96BA-CF4598E8E5EE}" name="20. Kokonais-ansio" dataDxfId="0">
      <calculatedColumnFormula>Järjestelyerätaulukko1113[[#This Row],[19. Kokonais-ansio]]-Järjestelyerätaulukko1113[[#This Row],[9. Kokonais-ansio]]</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F879D-3419-426C-BADC-06CBDA6A58A7}">
  <dimension ref="A1:L43"/>
  <sheetViews>
    <sheetView tabSelected="1" workbookViewId="0">
      <selection activeCell="D8" sqref="D8"/>
    </sheetView>
  </sheetViews>
  <sheetFormatPr defaultRowHeight="12.5" x14ac:dyDescent="0.25"/>
  <cols>
    <col min="2" max="2" width="19" customWidth="1"/>
    <col min="3" max="3" width="41.08984375" customWidth="1"/>
    <col min="4" max="4" width="57.08984375" customWidth="1"/>
    <col min="5" max="5" width="31.6328125" customWidth="1"/>
    <col min="6" max="6" width="12.6328125" customWidth="1"/>
  </cols>
  <sheetData>
    <row r="1" spans="1:12" x14ac:dyDescent="0.25">
      <c r="A1" s="11" t="s">
        <v>47</v>
      </c>
      <c r="B1" s="3"/>
      <c r="C1" s="3"/>
      <c r="D1" s="3"/>
      <c r="E1" s="3"/>
      <c r="F1" s="3"/>
      <c r="G1" s="3"/>
    </row>
    <row r="2" spans="1:12" x14ac:dyDescent="0.25">
      <c r="B2" s="3"/>
      <c r="C2" s="3"/>
      <c r="D2" s="3"/>
      <c r="E2" s="3"/>
      <c r="F2" s="3"/>
      <c r="G2" s="3"/>
    </row>
    <row r="3" spans="1:12" ht="20" x14ac:dyDescent="0.4">
      <c r="A3" s="13" t="s">
        <v>48</v>
      </c>
      <c r="B3" s="3"/>
      <c r="C3" s="3"/>
      <c r="D3" s="3"/>
      <c r="E3" s="3"/>
      <c r="F3" s="3"/>
      <c r="G3" s="3"/>
    </row>
    <row r="4" spans="1:12" x14ac:dyDescent="0.25">
      <c r="B4" s="3"/>
      <c r="C4" s="3"/>
      <c r="D4" s="3"/>
      <c r="E4" s="3"/>
      <c r="F4" s="3"/>
      <c r="G4" s="3"/>
    </row>
    <row r="5" spans="1:12" ht="18" x14ac:dyDescent="0.4">
      <c r="A5" s="91" t="s">
        <v>49</v>
      </c>
      <c r="B5" s="3"/>
      <c r="C5" s="3"/>
      <c r="D5" s="3"/>
      <c r="E5" s="3"/>
      <c r="F5" s="3"/>
      <c r="G5" s="3"/>
    </row>
    <row r="6" spans="1:12" ht="15.5" x14ac:dyDescent="0.25">
      <c r="A6" s="113" t="s">
        <v>50</v>
      </c>
      <c r="B6" s="113"/>
      <c r="C6" s="113"/>
      <c r="D6" s="113"/>
      <c r="E6" s="113"/>
      <c r="F6" s="113"/>
      <c r="G6" s="113"/>
      <c r="H6" s="113"/>
      <c r="I6" s="113"/>
      <c r="J6" s="113"/>
      <c r="K6" s="113"/>
    </row>
    <row r="7" spans="1:12" ht="15.5" x14ac:dyDescent="0.25">
      <c r="A7" s="113" t="s">
        <v>91</v>
      </c>
      <c r="B7" s="113"/>
      <c r="C7" s="113"/>
      <c r="D7" s="113"/>
      <c r="E7" s="113"/>
      <c r="F7" s="113"/>
      <c r="G7" s="113"/>
      <c r="H7" s="113"/>
      <c r="I7" s="113"/>
      <c r="J7" s="113"/>
      <c r="K7" s="113"/>
    </row>
    <row r="8" spans="1:12" ht="15.5" x14ac:dyDescent="0.35">
      <c r="A8" s="92" t="s">
        <v>51</v>
      </c>
      <c r="C8" s="3"/>
      <c r="D8" s="3"/>
      <c r="E8" s="3"/>
      <c r="F8" s="3"/>
      <c r="G8" s="3"/>
    </row>
    <row r="9" spans="1:12" ht="15.5" x14ac:dyDescent="0.35">
      <c r="A9" s="92"/>
      <c r="C9" s="3"/>
      <c r="D9" s="3"/>
      <c r="E9" s="3"/>
      <c r="F9" s="3"/>
      <c r="G9" s="3"/>
    </row>
    <row r="10" spans="1:12" ht="15.5" x14ac:dyDescent="0.35">
      <c r="A10" s="90"/>
      <c r="B10" s="3"/>
      <c r="C10" s="3"/>
      <c r="D10" s="3"/>
      <c r="E10" s="3"/>
      <c r="F10" s="3"/>
      <c r="G10" s="3"/>
    </row>
    <row r="11" spans="1:12" ht="18" x14ac:dyDescent="0.4">
      <c r="A11" s="91" t="s">
        <v>52</v>
      </c>
      <c r="B11" s="3"/>
      <c r="C11" s="3"/>
      <c r="D11" s="3"/>
      <c r="E11" s="3"/>
      <c r="F11" s="3"/>
      <c r="G11" s="3"/>
    </row>
    <row r="12" spans="1:12" ht="15.65" customHeight="1" x14ac:dyDescent="0.35">
      <c r="A12" s="96" t="s">
        <v>53</v>
      </c>
      <c r="B12" s="93"/>
      <c r="C12" s="93"/>
      <c r="D12" s="93"/>
      <c r="E12" s="93"/>
      <c r="F12" s="93"/>
      <c r="G12" s="93"/>
      <c r="H12" s="93"/>
      <c r="I12" s="93"/>
      <c r="J12" s="93"/>
      <c r="K12" s="93"/>
      <c r="L12" s="12"/>
    </row>
    <row r="13" spans="1:12" ht="15.5" x14ac:dyDescent="0.25">
      <c r="A13" s="96" t="s">
        <v>54</v>
      </c>
      <c r="B13" s="93"/>
      <c r="C13" s="93"/>
      <c r="D13" s="93"/>
      <c r="E13" s="93"/>
    </row>
    <row r="14" spans="1:12" ht="15.5" x14ac:dyDescent="0.35">
      <c r="A14" s="92" t="s">
        <v>55</v>
      </c>
    </row>
    <row r="15" spans="1:12" ht="15.5" customHeight="1" x14ac:dyDescent="0.35">
      <c r="A15" s="113" t="s">
        <v>56</v>
      </c>
      <c r="B15" s="113"/>
      <c r="C15" s="113"/>
      <c r="D15" s="113"/>
      <c r="E15" s="113"/>
      <c r="F15" s="113"/>
      <c r="G15" s="113"/>
      <c r="H15" s="113"/>
      <c r="I15" s="113"/>
      <c r="J15" s="98"/>
      <c r="K15" s="98"/>
      <c r="L15" s="12"/>
    </row>
    <row r="16" spans="1:12" ht="15.5" customHeight="1" thickBot="1" x14ac:dyDescent="0.4">
      <c r="A16" s="98"/>
      <c r="B16" s="98"/>
      <c r="C16" s="98"/>
      <c r="D16" s="98"/>
      <c r="E16" s="98"/>
      <c r="F16" s="98"/>
      <c r="G16" s="98"/>
      <c r="H16" s="98"/>
      <c r="I16" s="98"/>
      <c r="J16" s="98"/>
      <c r="K16" s="98"/>
      <c r="L16" s="12"/>
    </row>
    <row r="17" spans="1:12" ht="15.5" hidden="1" customHeight="1" x14ac:dyDescent="0.35">
      <c r="A17" s="98"/>
      <c r="B17" s="98"/>
      <c r="C17" s="98"/>
      <c r="D17" s="98"/>
      <c r="E17" s="98"/>
      <c r="F17" s="98"/>
      <c r="G17" s="98"/>
      <c r="H17" s="98"/>
      <c r="I17" s="98"/>
      <c r="J17" s="98"/>
      <c r="K17" s="98"/>
      <c r="L17" s="12"/>
    </row>
    <row r="18" spans="1:12" ht="15.5" hidden="1" customHeight="1" x14ac:dyDescent="0.35">
      <c r="A18" s="98"/>
      <c r="B18" s="98"/>
      <c r="C18" s="98"/>
      <c r="D18" s="98"/>
      <c r="E18" s="98"/>
      <c r="F18" s="98"/>
      <c r="G18" s="98"/>
      <c r="H18" s="98"/>
      <c r="I18" s="98"/>
      <c r="J18" s="98"/>
      <c r="K18" s="98"/>
      <c r="L18" s="12"/>
    </row>
    <row r="19" spans="1:12" ht="15.5" hidden="1" customHeight="1" x14ac:dyDescent="0.35">
      <c r="A19" s="98"/>
      <c r="B19" s="98"/>
      <c r="C19" s="98"/>
      <c r="D19" s="98"/>
      <c r="E19" s="98"/>
      <c r="F19" s="98"/>
      <c r="G19" s="98"/>
      <c r="H19" s="98"/>
      <c r="I19" s="98"/>
      <c r="J19" s="98"/>
      <c r="K19" s="98"/>
      <c r="L19" s="12"/>
    </row>
    <row r="20" spans="1:12" ht="15.5" hidden="1" customHeight="1" x14ac:dyDescent="0.35">
      <c r="A20" s="98"/>
      <c r="B20" s="98"/>
      <c r="C20" s="98"/>
      <c r="D20" s="98"/>
      <c r="E20" s="98"/>
      <c r="F20" s="98"/>
      <c r="G20" s="98"/>
      <c r="H20" s="98"/>
      <c r="I20" s="98"/>
      <c r="J20" s="98"/>
      <c r="K20" s="98"/>
      <c r="L20" s="12"/>
    </row>
    <row r="21" spans="1:12" ht="15.5" hidden="1" customHeight="1" x14ac:dyDescent="0.35">
      <c r="A21" s="98"/>
      <c r="B21" s="98"/>
      <c r="C21" s="98"/>
      <c r="D21" s="98"/>
      <c r="E21" s="98"/>
      <c r="F21" s="98"/>
      <c r="G21" s="98"/>
      <c r="H21" s="98"/>
      <c r="I21" s="98"/>
      <c r="J21" s="98"/>
      <c r="K21" s="98"/>
      <c r="L21" s="12"/>
    </row>
    <row r="22" spans="1:12" ht="15.5" hidden="1" customHeight="1" x14ac:dyDescent="0.35">
      <c r="A22" s="98"/>
      <c r="B22" s="98"/>
      <c r="C22" s="98"/>
      <c r="D22" s="98"/>
      <c r="E22" s="98"/>
      <c r="F22" s="98"/>
      <c r="G22" s="98"/>
      <c r="H22" s="98"/>
      <c r="I22" s="98"/>
      <c r="J22" s="98"/>
      <c r="K22" s="98"/>
      <c r="L22" s="12"/>
    </row>
    <row r="23" spans="1:12" ht="16.5" hidden="1" customHeight="1" x14ac:dyDescent="0.35">
      <c r="A23" s="98"/>
      <c r="B23" s="98"/>
      <c r="C23" s="98"/>
      <c r="D23" s="98"/>
      <c r="E23" s="98"/>
      <c r="F23" s="98"/>
      <c r="G23" s="98"/>
      <c r="H23" s="98"/>
      <c r="I23" s="98"/>
      <c r="J23" s="98"/>
      <c r="K23" s="98"/>
      <c r="L23" s="12"/>
    </row>
    <row r="24" spans="1:12" ht="15.5" hidden="1" customHeight="1" x14ac:dyDescent="0.35">
      <c r="A24" s="98"/>
      <c r="B24" s="98"/>
      <c r="C24" s="98"/>
      <c r="D24" s="98"/>
      <c r="E24" s="98"/>
      <c r="F24" s="98"/>
      <c r="G24" s="98"/>
      <c r="H24" s="98"/>
      <c r="I24" s="98"/>
      <c r="J24" s="98"/>
      <c r="K24" s="98"/>
      <c r="L24" s="12"/>
    </row>
    <row r="25" spans="1:12" ht="15.5" hidden="1" x14ac:dyDescent="0.35">
      <c r="C25" s="3"/>
      <c r="D25" s="3"/>
      <c r="E25" s="3"/>
      <c r="F25" s="3"/>
      <c r="G25" s="3"/>
      <c r="L25" s="12"/>
    </row>
    <row r="26" spans="1:12" ht="12.5" hidden="1" customHeight="1" x14ac:dyDescent="0.25"/>
    <row r="27" spans="1:12" ht="13" hidden="1" thickBot="1" x14ac:dyDescent="0.3"/>
    <row r="28" spans="1:12" ht="12.5" customHeight="1" x14ac:dyDescent="0.25">
      <c r="B28" s="114" t="s">
        <v>13</v>
      </c>
      <c r="C28" s="115"/>
      <c r="D28" s="115"/>
      <c r="E28" s="115"/>
      <c r="F28" s="116"/>
    </row>
    <row r="29" spans="1:12" ht="13" customHeight="1" thickBot="1" x14ac:dyDescent="0.3">
      <c r="B29" s="117"/>
      <c r="C29" s="118"/>
      <c r="D29" s="118"/>
      <c r="E29" s="118"/>
      <c r="F29" s="119"/>
    </row>
    <row r="30" spans="1:12" ht="3" customHeight="1" thickBot="1" x14ac:dyDescent="0.3"/>
    <row r="31" spans="1:12" ht="13" x14ac:dyDescent="0.3">
      <c r="B31" s="106" t="s">
        <v>88</v>
      </c>
      <c r="C31" s="107">
        <f>SUM(Taulukko1[Korotus paikallisesta järjestelyerästä (0,4%)])</f>
        <v>123.41054157458166</v>
      </c>
      <c r="D31" s="107">
        <f>SUM(Taulukko1[Korotus paikallisen järjestelyerän ylimenevästä osuudesta (perälauta)])</f>
        <v>92.879553040763312</v>
      </c>
      <c r="E31" s="107">
        <f>SUM(Taulukko1[Korotus kehittämisohjelmaerästä])</f>
        <v>369.64227537916304</v>
      </c>
      <c r="F31" s="108">
        <f>SUM(Taulukko1[Yhteensä])</f>
        <v>585.93236999450801</v>
      </c>
    </row>
    <row r="32" spans="1:12" ht="13.5" thickBot="1" x14ac:dyDescent="0.35">
      <c r="B32" s="109" t="s">
        <v>89</v>
      </c>
      <c r="C32" s="110">
        <f>C31/'Järjestelyerä (0,4 %)'!N30*100</f>
        <v>0.39982680481624333</v>
      </c>
      <c r="D32" s="110">
        <f>D31/'Järjestelyerän perälauta (0,3%)'!N31*100</f>
        <v>0.30091217858084401</v>
      </c>
      <c r="E32" s="110">
        <f>E31/'Kehittämisohjelmaerä 1,2%'!N30*100</f>
        <v>1.197571034080098</v>
      </c>
      <c r="F32" s="111">
        <f>C32+D32+E32</f>
        <v>1.8983100174771854</v>
      </c>
    </row>
    <row r="33" spans="2:6" ht="26" x14ac:dyDescent="0.25">
      <c r="B33" s="100" t="s">
        <v>15</v>
      </c>
      <c r="C33" s="101" t="s">
        <v>57</v>
      </c>
      <c r="D33" s="102" t="s">
        <v>58</v>
      </c>
      <c r="E33" s="102" t="s">
        <v>59</v>
      </c>
      <c r="F33" s="102" t="s">
        <v>39</v>
      </c>
    </row>
    <row r="34" spans="2:6" ht="13" x14ac:dyDescent="0.3">
      <c r="B34" s="25" t="s">
        <v>21</v>
      </c>
      <c r="C34" s="1">
        <f>'Järjestelyerä (0,4 %)'!W34-'Järjestelyerä (0,4 %)'!N34</f>
        <v>24</v>
      </c>
      <c r="D34" s="1">
        <f>'Järjestelyerän perälauta (0,3%)'!W35-'Järjestelyerän perälauta (0,3%)'!N35</f>
        <v>10</v>
      </c>
      <c r="E34" s="1">
        <f>'Kehittämisohjelmaerä 1,2%'!W34-'Kehittämisohjelmaerä 1,2%'!N34</f>
        <v>90</v>
      </c>
      <c r="F34" s="1">
        <f>SUM(Taulukko1[[#This Row],[Korotus paikallisesta järjestelyerästä (0,4%)]:[Korotus kehittämisohjelmaerästä]])</f>
        <v>124</v>
      </c>
    </row>
    <row r="35" spans="2:6" ht="13" x14ac:dyDescent="0.3">
      <c r="B35" s="25" t="s">
        <v>23</v>
      </c>
      <c r="C35" s="1">
        <f>'Järjestelyerä (0,4 %)'!W35-'Järjestelyerä (0,4 %)'!N35</f>
        <v>15.761905956112969</v>
      </c>
      <c r="D35" s="1">
        <f>'Järjestelyerän perälauta (0,3%)'!W36-'Järjestelyerän perälauta (0,3%)'!N36</f>
        <v>6.5674608150470704</v>
      </c>
      <c r="E35" s="1">
        <f>'Kehittämisohjelmaerä 1,2%'!W35-'Kehittämisohjelmaerä 1,2%'!N35</f>
        <v>59.107147335423178</v>
      </c>
      <c r="F35" s="1">
        <f>SUM(Taulukko1[[#This Row],[Korotus paikallisesta järjestelyerästä (0,4%)]:[Korotus kehittämisohjelmaerästä]])</f>
        <v>81.436514106583218</v>
      </c>
    </row>
    <row r="36" spans="2:6" ht="13" x14ac:dyDescent="0.3">
      <c r="B36" s="25" t="s">
        <v>25</v>
      </c>
      <c r="C36" s="1">
        <f>'Järjestelyerä (0,4 %)'!W36-'Järjestelyerä (0,4 %)'!N36</f>
        <v>13.003526553280153</v>
      </c>
      <c r="D36" s="1">
        <f>'Järjestelyerän perälauta (0,3%)'!W37-'Järjestelyerän perälauta (0,3%)'!N37</f>
        <v>9.7526449149600012</v>
      </c>
      <c r="E36" s="1">
        <f>'Kehittämisohjelmaerä 1,2%'!W36-'Kehittämisohjelmaerä 1,2%'!N36</f>
        <v>43.345088510933692</v>
      </c>
      <c r="F36" s="1">
        <f>SUM(Taulukko1[[#This Row],[Korotus paikallisesta järjestelyerästä (0,4%)]:[Korotus kehittämisohjelmaerästä]])</f>
        <v>66.101259979173847</v>
      </c>
    </row>
    <row r="37" spans="2:6" ht="13" x14ac:dyDescent="0.3">
      <c r="B37" s="25" t="s">
        <v>27</v>
      </c>
      <c r="C37" s="1">
        <f>'Järjestelyerä (0,4 %)'!W37-'Järjestelyerä (0,4 %)'!N37</f>
        <v>13.813754940711533</v>
      </c>
      <c r="D37" s="1">
        <f>'Järjestelyerän perälauta (0,3%)'!W38-'Järjestelyerän perälauta (0,3%)'!N38</f>
        <v>10.360316205533309</v>
      </c>
      <c r="E37" s="1">
        <f>'Kehittämisohjelmaerä 1,2%'!W37-'Kehittämisohjelmaerä 1,2%'!N37</f>
        <v>46.045849802371322</v>
      </c>
      <c r="F37" s="1">
        <f>SUM(Taulukko1[[#This Row],[Korotus paikallisesta järjestelyerästä (0,4%)]:[Korotus kehittämisohjelmaerästä]])</f>
        <v>70.219920948616164</v>
      </c>
    </row>
    <row r="38" spans="2:6" ht="13" x14ac:dyDescent="0.3">
      <c r="B38" s="25" t="s">
        <v>29</v>
      </c>
      <c r="C38" s="1">
        <f>'Järjestelyerä (0,4 %)'!W38-'Järjestelyerä (0,4 %)'!N38</f>
        <v>13.111111111111313</v>
      </c>
      <c r="D38" s="1">
        <f>'Järjestelyerän perälauta (0,3%)'!W39-'Järjestelyerän perälauta (0,3%)'!N39</f>
        <v>9.8333333333334849</v>
      </c>
      <c r="E38" s="1">
        <f>'Kehittämisohjelmaerä 1,2%'!W38-'Kehittämisohjelmaerä 1,2%'!N38</f>
        <v>43.703703703703468</v>
      </c>
      <c r="F38" s="1">
        <f>SUM(Taulukko1[[#This Row],[Korotus paikallisesta järjestelyerästä (0,4%)]:[Korotus kehittämisohjelmaerästä]])</f>
        <v>66.648148148148266</v>
      </c>
    </row>
    <row r="39" spans="2:6" ht="13" x14ac:dyDescent="0.3">
      <c r="B39" s="25" t="s">
        <v>30</v>
      </c>
      <c r="C39" s="1">
        <f>'Järjestelyerä (0,4 %)'!W39-'Järjestelyerä (0,4 %)'!N39</f>
        <v>19.160243013365744</v>
      </c>
      <c r="D39" s="1">
        <f>'Järjestelyerän perälauta (0,3%)'!W40-'Järjestelyerän perälauta (0,3%)'!N40</f>
        <v>13.704592952612074</v>
      </c>
      <c r="E39" s="1">
        <f>'Kehittämisohjelmaerä 1,2%'!W39-'Kehittämisohjelmaerä 1,2%'!N39</f>
        <v>38.320486026731487</v>
      </c>
      <c r="F39" s="1">
        <f>SUM(Taulukko1[[#This Row],[Korotus paikallisesta järjestelyerästä (0,4%)]:[Korotus kehittämisohjelmaerästä]])</f>
        <v>71.185321992709305</v>
      </c>
    </row>
    <row r="40" spans="2:6" ht="13" x14ac:dyDescent="0.3">
      <c r="B40" s="25" t="s">
        <v>32</v>
      </c>
      <c r="C40" s="1">
        <f>'Järjestelyerä (0,4 %)'!W40-'Järjestelyerä (0,4 %)'!N40</f>
        <v>7</v>
      </c>
      <c r="D40" s="1">
        <f>'Järjestelyerän perälauta (0,3%)'!W41-'Järjestelyerän perälauta (0,3%)'!N41</f>
        <v>7</v>
      </c>
      <c r="E40" s="1">
        <f>'Kehittämisohjelmaerä 1,2%'!W40-'Kehittämisohjelmaerä 1,2%'!N40</f>
        <v>14</v>
      </c>
      <c r="F40" s="1">
        <f>SUM(Taulukko1[[#This Row],[Korotus paikallisesta järjestelyerästä (0,4%)]:[Korotus kehittämisohjelmaerästä]])</f>
        <v>28</v>
      </c>
    </row>
    <row r="41" spans="2:6" ht="13" x14ac:dyDescent="0.3">
      <c r="B41" s="25" t="s">
        <v>34</v>
      </c>
      <c r="C41" s="1">
        <f>'Järjestelyerä (0,4 %)'!W41-'Järjestelyerä (0,4 %)'!N41</f>
        <v>7.5599999999999454</v>
      </c>
      <c r="D41" s="1">
        <f>'Järjestelyerän perälauta (0,3%)'!W42-'Järjestelyerän perälauta (0,3%)'!N42</f>
        <v>7.5599999999999454</v>
      </c>
      <c r="E41" s="1">
        <f>'Kehittämisohjelmaerä 1,2%'!W41-'Kehittämisohjelmaerä 1,2%'!N41</f>
        <v>15.119999999999891</v>
      </c>
      <c r="F41" s="1">
        <f>SUM(Taulukko1[[#This Row],[Korotus paikallisesta järjestelyerästä (0,4%)]:[Korotus kehittämisohjelmaerästä]])</f>
        <v>30.239999999999782</v>
      </c>
    </row>
    <row r="42" spans="2:6" ht="13" x14ac:dyDescent="0.3">
      <c r="B42" s="25" t="s">
        <v>35</v>
      </c>
      <c r="C42" s="1">
        <f>'Järjestelyerä (0,4 %)'!W42-'Järjestelyerä (0,4 %)'!N42</f>
        <v>0</v>
      </c>
      <c r="D42" s="1">
        <f>'Järjestelyerän perälauta (0,3%)'!W43-'Järjestelyerän perälauta (0,3%)'!N43</f>
        <v>12.101204819277427</v>
      </c>
      <c r="E42" s="1">
        <f>'Kehittämisohjelmaerä 1,2%'!W42-'Kehittämisohjelmaerä 1,2%'!N42</f>
        <v>0</v>
      </c>
      <c r="F42" s="1">
        <f>SUM(Taulukko1[[#This Row],[Korotus paikallisesta järjestelyerästä (0,4%)]:[Korotus kehittämisohjelmaerästä]])</f>
        <v>12.101204819277427</v>
      </c>
    </row>
    <row r="43" spans="2:6" ht="13" x14ac:dyDescent="0.3">
      <c r="B43" s="25" t="s">
        <v>37</v>
      </c>
      <c r="C43" s="1">
        <f>'Järjestelyerä (0,4 %)'!W43-'Järjestelyerä (0,4 %)'!N43</f>
        <v>10</v>
      </c>
      <c r="D43" s="1">
        <f>'Järjestelyerän perälauta (0,3%)'!W44-'Järjestelyerän perälauta (0,3%)'!N44</f>
        <v>6</v>
      </c>
      <c r="E43" s="1">
        <f>'Kehittämisohjelmaerä 1,2%'!W43-'Kehittämisohjelmaerä 1,2%'!N43</f>
        <v>20</v>
      </c>
      <c r="F43" s="1">
        <f>SUM(Taulukko1[[#This Row],[Korotus paikallisesta järjestelyerästä (0,4%)]:[Korotus kehittämisohjelmaerästä]])</f>
        <v>36</v>
      </c>
    </row>
  </sheetData>
  <mergeCells count="4">
    <mergeCell ref="A6:K6"/>
    <mergeCell ref="A7:K7"/>
    <mergeCell ref="B28:F29"/>
    <mergeCell ref="A15:I15"/>
  </mergeCells>
  <phoneticPr fontId="1" type="noConversion"/>
  <pageMargins left="0.7" right="0.7" top="0.75" bottom="0.75" header="0.3" footer="0.3"/>
  <pageSetup paperSize="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D7894-81DF-4599-9999-97E46C4C5763}">
  <dimension ref="A1:X43"/>
  <sheetViews>
    <sheetView workbookViewId="0">
      <selection activeCell="A9" sqref="A9"/>
    </sheetView>
  </sheetViews>
  <sheetFormatPr defaultRowHeight="12.5" x14ac:dyDescent="0.25"/>
  <cols>
    <col min="2" max="2" width="9.36328125" customWidth="1"/>
    <col min="3" max="3" width="9.6328125" customWidth="1"/>
    <col min="4" max="5" width="19.36328125" customWidth="1"/>
    <col min="6" max="7" width="13" customWidth="1"/>
    <col min="8" max="8" width="14.36328125" customWidth="1"/>
    <col min="9" max="25" width="13" customWidth="1"/>
  </cols>
  <sheetData>
    <row r="1" spans="1:15" x14ac:dyDescent="0.25">
      <c r="A1" s="11" t="s">
        <v>47</v>
      </c>
      <c r="B1" s="3"/>
      <c r="C1" s="3"/>
      <c r="D1" s="3"/>
      <c r="E1" s="3"/>
      <c r="F1" s="3"/>
      <c r="G1" s="3"/>
    </row>
    <row r="2" spans="1:15" x14ac:dyDescent="0.25">
      <c r="B2" s="3"/>
      <c r="C2" s="3"/>
      <c r="D2" s="3"/>
      <c r="E2" s="3"/>
      <c r="F2" s="3"/>
      <c r="G2" s="3"/>
    </row>
    <row r="3" spans="1:15" ht="20" x14ac:dyDescent="0.4">
      <c r="A3" s="13" t="s">
        <v>60</v>
      </c>
      <c r="B3" s="3"/>
      <c r="C3" s="3"/>
      <c r="D3" s="3"/>
      <c r="E3" s="3"/>
      <c r="F3" s="3"/>
      <c r="G3" s="3"/>
    </row>
    <row r="4" spans="1:15" x14ac:dyDescent="0.25">
      <c r="B4" s="3"/>
      <c r="C4" s="3"/>
      <c r="D4" s="3"/>
      <c r="E4" s="3"/>
      <c r="F4" s="3"/>
      <c r="G4" s="3"/>
    </row>
    <row r="5" spans="1:15" ht="18" x14ac:dyDescent="0.4">
      <c r="A5" s="91" t="s">
        <v>61</v>
      </c>
      <c r="B5" s="3"/>
      <c r="C5" s="3"/>
      <c r="D5" s="3"/>
      <c r="E5" s="3"/>
      <c r="F5" s="3"/>
      <c r="G5" s="3"/>
    </row>
    <row r="6" spans="1:15" ht="51.5" customHeight="1" x14ac:dyDescent="0.25">
      <c r="A6" s="113" t="s">
        <v>62</v>
      </c>
      <c r="B6" s="113"/>
      <c r="C6" s="113"/>
      <c r="D6" s="113"/>
      <c r="E6" s="113"/>
      <c r="F6" s="113"/>
      <c r="G6" s="113"/>
      <c r="H6" s="113"/>
      <c r="I6" s="113"/>
      <c r="J6" s="113"/>
      <c r="K6" s="113"/>
      <c r="L6" s="113"/>
      <c r="M6" s="113"/>
      <c r="N6" s="113"/>
    </row>
    <row r="7" spans="1:15" ht="33" customHeight="1" x14ac:dyDescent="0.25">
      <c r="A7" s="113" t="s">
        <v>63</v>
      </c>
      <c r="B7" s="113"/>
      <c r="C7" s="113"/>
      <c r="D7" s="113"/>
      <c r="E7" s="113"/>
      <c r="F7" s="113"/>
      <c r="G7" s="113"/>
      <c r="H7" s="113"/>
      <c r="I7" s="113"/>
      <c r="J7" s="113"/>
      <c r="K7" s="113"/>
      <c r="L7" s="113"/>
      <c r="M7" s="113"/>
      <c r="N7" s="113"/>
    </row>
    <row r="8" spans="1:15" ht="15.5" x14ac:dyDescent="0.35">
      <c r="A8" s="92" t="s">
        <v>64</v>
      </c>
      <c r="C8" s="3"/>
      <c r="D8" s="3"/>
      <c r="E8" s="3"/>
      <c r="F8" s="3"/>
      <c r="G8" s="3"/>
    </row>
    <row r="9" spans="1:15" ht="15.5" x14ac:dyDescent="0.35">
      <c r="A9" s="92" t="s">
        <v>65</v>
      </c>
      <c r="C9" s="3"/>
      <c r="D9" s="3"/>
      <c r="E9" s="3"/>
      <c r="F9" s="3"/>
      <c r="G9" s="3"/>
    </row>
    <row r="10" spans="1:15" ht="15.5" x14ac:dyDescent="0.35">
      <c r="A10" s="90"/>
      <c r="B10" s="3"/>
      <c r="C10" s="3"/>
      <c r="D10" s="3"/>
      <c r="E10" s="3"/>
      <c r="F10" s="3"/>
      <c r="G10" s="3"/>
    </row>
    <row r="11" spans="1:15" ht="18" x14ac:dyDescent="0.4">
      <c r="A11" s="91" t="s">
        <v>66</v>
      </c>
      <c r="B11" s="3"/>
      <c r="C11" s="3"/>
      <c r="D11" s="3"/>
      <c r="E11" s="3"/>
      <c r="F11" s="3"/>
      <c r="G11" s="3"/>
    </row>
    <row r="12" spans="1:15" ht="15.5" x14ac:dyDescent="0.35">
      <c r="A12" s="14" t="s">
        <v>0</v>
      </c>
      <c r="B12" s="21"/>
      <c r="C12" s="21"/>
      <c r="D12" s="21"/>
      <c r="E12" s="21"/>
      <c r="F12" s="21"/>
      <c r="G12" s="21"/>
      <c r="H12" s="14"/>
      <c r="I12" s="14"/>
      <c r="J12" s="14"/>
      <c r="K12" s="14"/>
      <c r="L12" s="14"/>
      <c r="M12" s="12"/>
      <c r="N12" s="12"/>
      <c r="O12" s="12"/>
    </row>
    <row r="13" spans="1:15" ht="15.5" x14ac:dyDescent="0.25">
      <c r="A13" s="120" t="s">
        <v>1</v>
      </c>
      <c r="B13" s="121"/>
      <c r="C13" s="121"/>
      <c r="D13" s="121"/>
      <c r="E13" s="121"/>
      <c r="F13" s="121"/>
      <c r="G13" s="121"/>
      <c r="H13" s="121"/>
      <c r="I13" s="121"/>
      <c r="J13" s="121"/>
      <c r="K13" s="121"/>
      <c r="L13" s="121"/>
      <c r="M13" s="122"/>
      <c r="N13" s="122"/>
      <c r="O13" s="122"/>
    </row>
    <row r="14" spans="1:15" ht="15.5" x14ac:dyDescent="0.35">
      <c r="A14" s="22" t="s">
        <v>2</v>
      </c>
      <c r="B14" s="21"/>
      <c r="C14" s="21"/>
      <c r="D14" s="21"/>
      <c r="E14" s="21"/>
      <c r="F14" s="21"/>
      <c r="G14" s="21"/>
      <c r="H14" s="14"/>
      <c r="I14" s="14"/>
      <c r="J14" s="14"/>
      <c r="K14" s="14"/>
      <c r="L14" s="14"/>
      <c r="M14" s="12"/>
      <c r="N14" s="12"/>
      <c r="O14" s="12"/>
    </row>
    <row r="15" spans="1:15" ht="15.5" x14ac:dyDescent="0.35">
      <c r="A15" s="22" t="s">
        <v>3</v>
      </c>
      <c r="B15" s="21"/>
      <c r="C15" s="21"/>
      <c r="D15" s="21"/>
      <c r="E15" s="21"/>
      <c r="F15" s="21"/>
      <c r="G15" s="21"/>
      <c r="H15" s="14"/>
      <c r="I15" s="14"/>
      <c r="J15" s="14"/>
      <c r="K15" s="14"/>
      <c r="L15" s="14"/>
      <c r="M15" s="12"/>
      <c r="N15" s="12"/>
      <c r="O15" s="12"/>
    </row>
    <row r="16" spans="1:15" ht="15.5" x14ac:dyDescent="0.35">
      <c r="A16" s="22" t="s">
        <v>4</v>
      </c>
      <c r="B16" s="21"/>
      <c r="C16" s="21"/>
      <c r="D16" s="21"/>
      <c r="E16" s="21"/>
      <c r="F16" s="21"/>
      <c r="G16" s="21"/>
      <c r="H16" s="14"/>
      <c r="I16" s="14"/>
      <c r="J16" s="14"/>
      <c r="K16" s="14"/>
      <c r="L16" s="14"/>
      <c r="M16" s="12"/>
      <c r="N16" s="12"/>
      <c r="O16" s="12"/>
    </row>
    <row r="17" spans="1:23" ht="15.5" x14ac:dyDescent="0.35">
      <c r="A17" s="22" t="s">
        <v>5</v>
      </c>
      <c r="B17" s="21"/>
      <c r="C17" s="21"/>
      <c r="D17" s="21"/>
      <c r="E17" s="21"/>
      <c r="F17" s="21"/>
      <c r="G17" s="21"/>
      <c r="H17" s="14"/>
      <c r="I17" s="14"/>
      <c r="J17" s="14"/>
      <c r="K17" s="14"/>
      <c r="L17" s="14"/>
      <c r="M17" s="12"/>
      <c r="N17" s="12"/>
      <c r="O17" s="12"/>
    </row>
    <row r="18" spans="1:23" ht="15.5" x14ac:dyDescent="0.35">
      <c r="A18" s="14"/>
      <c r="B18" s="21"/>
      <c r="C18" s="21"/>
      <c r="D18" s="21"/>
      <c r="E18" s="21"/>
      <c r="F18" s="21"/>
      <c r="G18" s="21"/>
      <c r="H18" s="14"/>
      <c r="I18" s="14"/>
      <c r="J18" s="14"/>
      <c r="K18" s="14"/>
      <c r="L18" s="14"/>
      <c r="M18" s="12"/>
      <c r="N18" s="12"/>
      <c r="O18" s="12"/>
    </row>
    <row r="19" spans="1:23" ht="15.5" x14ac:dyDescent="0.35">
      <c r="A19" s="14" t="s">
        <v>6</v>
      </c>
      <c r="B19" s="21"/>
      <c r="C19" s="21"/>
      <c r="D19" s="21"/>
      <c r="E19" s="21"/>
      <c r="F19" s="21"/>
      <c r="G19" s="21"/>
      <c r="H19" s="14"/>
      <c r="I19" s="14"/>
      <c r="J19" s="14"/>
      <c r="K19" s="14"/>
      <c r="L19" s="14"/>
      <c r="M19" s="12"/>
      <c r="N19" s="12"/>
      <c r="O19" s="12"/>
    </row>
    <row r="20" spans="1:23" ht="15.5" x14ac:dyDescent="0.35">
      <c r="A20" s="22" t="s">
        <v>7</v>
      </c>
      <c r="B20" s="21"/>
      <c r="C20" s="21"/>
      <c r="D20" s="21"/>
      <c r="E20" s="21"/>
      <c r="F20" s="21"/>
      <c r="G20" s="21"/>
      <c r="H20" s="14"/>
      <c r="I20" s="14"/>
      <c r="J20" s="14"/>
      <c r="K20" s="14"/>
      <c r="L20" s="14"/>
      <c r="M20" s="12"/>
      <c r="N20" s="12"/>
      <c r="O20" s="12"/>
    </row>
    <row r="21" spans="1:23" ht="15.5" x14ac:dyDescent="0.35">
      <c r="A21" s="14" t="s">
        <v>8</v>
      </c>
      <c r="B21" s="21"/>
      <c r="C21" s="21"/>
      <c r="D21" s="21"/>
      <c r="E21" s="21"/>
      <c r="F21" s="21"/>
      <c r="G21" s="21"/>
      <c r="H21" s="14"/>
      <c r="I21" s="14"/>
      <c r="J21" s="14"/>
      <c r="K21" s="14"/>
      <c r="L21" s="14"/>
      <c r="M21" s="12"/>
      <c r="N21" s="12"/>
      <c r="O21" s="12"/>
    </row>
    <row r="22" spans="1:23" ht="15.5" x14ac:dyDescent="0.35">
      <c r="A22" s="14" t="s">
        <v>9</v>
      </c>
      <c r="B22" s="21"/>
      <c r="C22" s="21"/>
      <c r="D22" s="21"/>
      <c r="E22" s="21"/>
      <c r="F22" s="21"/>
      <c r="G22" s="23"/>
      <c r="H22" s="2"/>
      <c r="I22" s="2"/>
      <c r="J22" s="2"/>
      <c r="K22" s="2"/>
      <c r="L22" s="2"/>
    </row>
    <row r="23" spans="1:23" ht="15.5" x14ac:dyDescent="0.35">
      <c r="A23" s="14"/>
      <c r="B23" s="21"/>
      <c r="C23" s="21"/>
      <c r="D23" s="21"/>
      <c r="E23" s="21"/>
      <c r="F23" s="21"/>
      <c r="G23" s="23"/>
      <c r="H23" s="2"/>
      <c r="I23" s="2"/>
      <c r="J23" s="2"/>
      <c r="K23" s="2"/>
      <c r="L23" s="2"/>
    </row>
    <row r="24" spans="1:23" ht="15.5" x14ac:dyDescent="0.35">
      <c r="A24" s="14"/>
      <c r="B24" s="21"/>
      <c r="C24" s="21"/>
      <c r="D24" s="21"/>
      <c r="E24" s="21"/>
      <c r="F24" s="21"/>
      <c r="G24" s="23"/>
      <c r="H24" s="2"/>
      <c r="I24" s="2"/>
      <c r="J24" s="2"/>
      <c r="K24" s="2"/>
      <c r="L24" s="2"/>
    </row>
    <row r="25" spans="1:23" ht="16" thickBot="1" x14ac:dyDescent="0.4">
      <c r="A25" s="14"/>
      <c r="B25" s="21"/>
      <c r="C25" s="21"/>
      <c r="D25" s="21"/>
      <c r="E25" s="21"/>
      <c r="F25" s="21"/>
      <c r="G25" s="23"/>
      <c r="H25" s="2"/>
      <c r="I25" s="2"/>
      <c r="J25" s="2"/>
      <c r="K25" s="2"/>
      <c r="L25" s="2"/>
    </row>
    <row r="26" spans="1:23" ht="26.5" thickBot="1" x14ac:dyDescent="0.4">
      <c r="A26" s="14"/>
      <c r="B26" s="49" t="s">
        <v>40</v>
      </c>
      <c r="C26" s="50"/>
      <c r="D26" s="51"/>
      <c r="E26" s="52"/>
      <c r="F26" s="127" t="s">
        <v>41</v>
      </c>
      <c r="G26" s="128"/>
      <c r="H26" s="53"/>
      <c r="I26" s="54"/>
      <c r="J26" s="54"/>
      <c r="K26" s="55" t="s">
        <v>42</v>
      </c>
      <c r="L26" s="56"/>
      <c r="M26" s="54"/>
      <c r="N26" s="57" t="s">
        <v>43</v>
      </c>
      <c r="O26" s="58" t="s">
        <v>44</v>
      </c>
      <c r="P26" s="51"/>
      <c r="Q26" s="59"/>
      <c r="R26" s="60"/>
      <c r="S26" s="35"/>
      <c r="T26" s="56"/>
      <c r="U26" s="56"/>
      <c r="V26" s="54"/>
      <c r="W26" s="61" t="s">
        <v>43</v>
      </c>
    </row>
    <row r="27" spans="1:23" ht="16" thickBot="1" x14ac:dyDescent="0.4">
      <c r="A27" s="14"/>
      <c r="B27" s="83" t="s">
        <v>45</v>
      </c>
      <c r="C27" s="84"/>
      <c r="D27" s="85"/>
      <c r="E27" s="86"/>
      <c r="F27" s="129">
        <f>SUM(D34:D43,E34:E43)</f>
        <v>115.4</v>
      </c>
      <c r="G27" s="130"/>
      <c r="H27" s="74"/>
      <c r="I27" s="75"/>
      <c r="J27" s="75"/>
      <c r="K27" s="76">
        <f>T30-K30</f>
        <v>118.27200000000084</v>
      </c>
      <c r="L27" s="77"/>
      <c r="M27" s="78"/>
      <c r="N27" s="79">
        <f>N30*N28/100</f>
        <v>123.46400000000001</v>
      </c>
      <c r="O27" s="80" t="s">
        <v>45</v>
      </c>
      <c r="P27" s="81"/>
      <c r="Q27" s="78"/>
      <c r="R27" s="78"/>
      <c r="S27" s="75"/>
      <c r="T27" s="77"/>
      <c r="U27" s="77"/>
      <c r="V27" s="78"/>
      <c r="W27" s="82">
        <f>W30-N30</f>
        <v>123.41054157458348</v>
      </c>
    </row>
    <row r="28" spans="1:23" ht="16" thickBot="1" x14ac:dyDescent="0.4">
      <c r="A28" s="14"/>
      <c r="B28" s="70" t="s">
        <v>46</v>
      </c>
      <c r="C28" s="71"/>
      <c r="D28" s="72"/>
      <c r="E28" s="73"/>
      <c r="F28" s="131">
        <f>(O30-F30)*100/F30</f>
        <v>0.41555635577962352</v>
      </c>
      <c r="G28" s="132"/>
      <c r="H28" s="62"/>
      <c r="I28" s="36"/>
      <c r="J28" s="36"/>
      <c r="K28" s="63">
        <f>(T30-K30)*100/K30</f>
        <v>0.40206690236606218</v>
      </c>
      <c r="L28" s="64"/>
      <c r="M28" s="65"/>
      <c r="N28" s="66">
        <v>0.4</v>
      </c>
      <c r="O28" s="67" t="s">
        <v>46</v>
      </c>
      <c r="P28" s="68"/>
      <c r="Q28" s="65"/>
      <c r="R28" s="65"/>
      <c r="S28" s="36"/>
      <c r="T28" s="64"/>
      <c r="U28" s="64"/>
      <c r="V28" s="65"/>
      <c r="W28" s="69">
        <f>(W30-N30)*100/N30</f>
        <v>0.39982680481624921</v>
      </c>
    </row>
    <row r="29" spans="1:23" ht="13" thickBot="1" x14ac:dyDescent="0.3">
      <c r="F29" s="35"/>
      <c r="K29" s="75"/>
      <c r="N29" s="75"/>
      <c r="O29" s="35"/>
    </row>
    <row r="30" spans="1:23" ht="13.5" thickBot="1" x14ac:dyDescent="0.35">
      <c r="F30" s="125">
        <f>SUM(F34:F43,G34:G43)</f>
        <v>27770</v>
      </c>
      <c r="G30" s="126"/>
      <c r="K30" s="103">
        <f>SUM(K34:K43)</f>
        <v>29416</v>
      </c>
      <c r="N30" s="103">
        <f>SUM(N34:N43)</f>
        <v>30866</v>
      </c>
      <c r="O30" s="125">
        <f>SUM(O34:O43,P34:P43)</f>
        <v>27885.4</v>
      </c>
      <c r="P30" s="126"/>
      <c r="T30" s="104">
        <f>SUM(T34:T43)</f>
        <v>29534.272000000001</v>
      </c>
      <c r="W30" s="105">
        <f>SUM(W34:W43)</f>
        <v>30989.410541574583</v>
      </c>
    </row>
    <row r="31" spans="1:23" ht="15.5" x14ac:dyDescent="0.35">
      <c r="A31" s="21"/>
      <c r="C31" s="3"/>
      <c r="D31" s="37" t="s">
        <v>10</v>
      </c>
      <c r="E31" s="38"/>
      <c r="F31" s="39" t="s">
        <v>11</v>
      </c>
      <c r="G31" s="40"/>
      <c r="H31" s="40"/>
      <c r="I31" s="41"/>
      <c r="J31" s="41"/>
      <c r="K31" s="41"/>
      <c r="L31" s="41"/>
      <c r="M31" s="41"/>
      <c r="N31" s="41"/>
      <c r="O31" s="47" t="s">
        <v>12</v>
      </c>
      <c r="P31" s="42"/>
      <c r="Q31" s="42"/>
      <c r="R31" s="42"/>
      <c r="S31" s="42"/>
      <c r="T31" s="42"/>
      <c r="U31" s="42"/>
      <c r="V31" s="42"/>
      <c r="W31" s="43"/>
    </row>
    <row r="32" spans="1:23" ht="13.5" thickBot="1" x14ac:dyDescent="0.3">
      <c r="C32" s="3"/>
      <c r="D32" s="123" t="s">
        <v>14</v>
      </c>
      <c r="E32" s="124"/>
      <c r="F32" s="44"/>
      <c r="G32" s="44"/>
      <c r="H32" s="44"/>
      <c r="I32" s="44"/>
      <c r="J32" s="44"/>
      <c r="K32" s="44"/>
      <c r="L32" s="44"/>
      <c r="M32" s="44"/>
      <c r="N32" s="48"/>
      <c r="O32" s="45"/>
      <c r="P32" s="45"/>
      <c r="Q32" s="45"/>
      <c r="R32" s="45"/>
      <c r="S32" s="45"/>
      <c r="T32" s="45"/>
      <c r="U32" s="45"/>
      <c r="V32" s="45"/>
      <c r="W32" s="46"/>
    </row>
    <row r="33" spans="2:24" ht="78.5" thickBot="1" x14ac:dyDescent="0.3">
      <c r="B33" s="30" t="s">
        <v>15</v>
      </c>
      <c r="C33" s="31" t="s">
        <v>16</v>
      </c>
      <c r="D33" s="32" t="s">
        <v>17</v>
      </c>
      <c r="E33" s="32" t="s">
        <v>18</v>
      </c>
      <c r="F33" s="32" t="s">
        <v>67</v>
      </c>
      <c r="G33" s="32" t="s">
        <v>68</v>
      </c>
      <c r="H33" s="32" t="s">
        <v>19</v>
      </c>
      <c r="I33" s="32" t="s">
        <v>69</v>
      </c>
      <c r="J33" s="32" t="s">
        <v>70</v>
      </c>
      <c r="K33" s="32" t="s">
        <v>71</v>
      </c>
      <c r="L33" s="32" t="s">
        <v>72</v>
      </c>
      <c r="M33" s="32" t="s">
        <v>73</v>
      </c>
      <c r="N33" s="32" t="s">
        <v>20</v>
      </c>
      <c r="O33" s="32" t="s">
        <v>74</v>
      </c>
      <c r="P33" s="32" t="s">
        <v>75</v>
      </c>
      <c r="Q33" s="32" t="s">
        <v>76</v>
      </c>
      <c r="R33" s="33" t="s">
        <v>77</v>
      </c>
      <c r="S33" s="32" t="s">
        <v>78</v>
      </c>
      <c r="T33" s="32" t="s">
        <v>79</v>
      </c>
      <c r="U33" s="32" t="s">
        <v>80</v>
      </c>
      <c r="V33" s="32" t="s">
        <v>81</v>
      </c>
      <c r="W33" s="34" t="s">
        <v>82</v>
      </c>
      <c r="X33" s="5"/>
    </row>
    <row r="34" spans="2:24" ht="13" x14ac:dyDescent="0.3">
      <c r="B34" s="24" t="s">
        <v>21</v>
      </c>
      <c r="C34" s="15" t="s">
        <v>22</v>
      </c>
      <c r="D34" s="7">
        <v>24</v>
      </c>
      <c r="E34" s="8"/>
      <c r="F34" s="16">
        <v>2500</v>
      </c>
      <c r="G34" s="16">
        <v>0</v>
      </c>
      <c r="H34" s="17">
        <v>0</v>
      </c>
      <c r="I34" s="16">
        <f t="shared" ref="I34:I43" si="0">F34*(H34/100)</f>
        <v>0</v>
      </c>
      <c r="J34" s="17">
        <v>0</v>
      </c>
      <c r="K34" s="18">
        <f>F34+G34+I34+J34</f>
        <v>2500</v>
      </c>
      <c r="L34" s="27">
        <v>0</v>
      </c>
      <c r="M34" s="19">
        <v>0</v>
      </c>
      <c r="N34" s="18">
        <f>SUM(K34:M34)</f>
        <v>2500</v>
      </c>
      <c r="O34" s="18">
        <f t="shared" ref="O34:P43" si="1">F34+D34</f>
        <v>2524</v>
      </c>
      <c r="P34" s="18">
        <f t="shared" ref="P34:P42" si="2">G34+E34</f>
        <v>0</v>
      </c>
      <c r="Q34" s="16">
        <f t="shared" ref="Q34:Q43" si="3">H34</f>
        <v>0</v>
      </c>
      <c r="R34" s="18">
        <f>O34*(Q34/100)</f>
        <v>0</v>
      </c>
      <c r="S34" s="26">
        <f t="shared" ref="S34:S43" si="4">J34</f>
        <v>0</v>
      </c>
      <c r="T34" s="18">
        <f>O34+P34+R34+S34</f>
        <v>2524</v>
      </c>
      <c r="U34" s="27">
        <f t="shared" ref="U34:U43" si="5">L34</f>
        <v>0</v>
      </c>
      <c r="V34" s="19">
        <f t="shared" ref="V34:V43" si="6">(T34/K34*M34)</f>
        <v>0</v>
      </c>
      <c r="W34" s="19">
        <f>SUM(T34:V34)</f>
        <v>2524</v>
      </c>
      <c r="X34" s="4"/>
    </row>
    <row r="35" spans="2:24" ht="13" x14ac:dyDescent="0.3">
      <c r="B35" s="25" t="s">
        <v>23</v>
      </c>
      <c r="C35" s="20" t="s">
        <v>24</v>
      </c>
      <c r="D35" s="6">
        <v>14.399999999999999</v>
      </c>
      <c r="E35" s="9"/>
      <c r="F35" s="16">
        <v>1500</v>
      </c>
      <c r="G35" s="16">
        <v>30</v>
      </c>
      <c r="H35" s="17">
        <v>3</v>
      </c>
      <c r="I35" s="16">
        <f t="shared" si="0"/>
        <v>45</v>
      </c>
      <c r="J35" s="17">
        <v>20</v>
      </c>
      <c r="K35" s="16">
        <f t="shared" ref="K35:K43" si="7">F35+G35+I35+J35</f>
        <v>1595</v>
      </c>
      <c r="L35" s="20">
        <v>0</v>
      </c>
      <c r="M35" s="17">
        <v>100</v>
      </c>
      <c r="N35" s="16">
        <f t="shared" ref="N35:N43" si="8">SUM(K35:M35)</f>
        <v>1695</v>
      </c>
      <c r="O35" s="16">
        <f t="shared" si="1"/>
        <v>1514.4</v>
      </c>
      <c r="P35" s="16">
        <f t="shared" si="2"/>
        <v>30</v>
      </c>
      <c r="Q35" s="16">
        <f t="shared" si="3"/>
        <v>3</v>
      </c>
      <c r="R35" s="16">
        <f>O35*(Q35/100)</f>
        <v>45.432000000000002</v>
      </c>
      <c r="S35" s="4">
        <f t="shared" si="4"/>
        <v>20</v>
      </c>
      <c r="T35" s="16">
        <f t="shared" ref="T35:T42" si="9">O35+P35+R35+S35</f>
        <v>1609.8320000000001</v>
      </c>
      <c r="U35" s="20">
        <f t="shared" si="5"/>
        <v>0</v>
      </c>
      <c r="V35" s="17">
        <f t="shared" si="6"/>
        <v>100.92990595611286</v>
      </c>
      <c r="W35" s="17">
        <f t="shared" ref="W35:W43" si="10">SUM(T35:V35)</f>
        <v>1710.761905956113</v>
      </c>
      <c r="X35" s="4"/>
    </row>
    <row r="36" spans="2:24" ht="13" x14ac:dyDescent="0.3">
      <c r="B36" s="25" t="s">
        <v>25</v>
      </c>
      <c r="C36" s="20" t="s">
        <v>26</v>
      </c>
      <c r="D36" s="10">
        <v>12</v>
      </c>
      <c r="E36" s="9"/>
      <c r="F36" s="16">
        <v>2700</v>
      </c>
      <c r="G36" s="16">
        <v>100</v>
      </c>
      <c r="H36" s="17">
        <v>3</v>
      </c>
      <c r="I36" s="16">
        <f t="shared" si="0"/>
        <v>81</v>
      </c>
      <c r="J36" s="17">
        <v>0</v>
      </c>
      <c r="K36" s="16">
        <f t="shared" si="7"/>
        <v>2881</v>
      </c>
      <c r="L36" s="20">
        <v>0</v>
      </c>
      <c r="M36" s="17">
        <v>150</v>
      </c>
      <c r="N36" s="16">
        <f t="shared" si="8"/>
        <v>3031</v>
      </c>
      <c r="O36" s="16">
        <f t="shared" si="1"/>
        <v>2712</v>
      </c>
      <c r="P36" s="16">
        <f t="shared" si="2"/>
        <v>100</v>
      </c>
      <c r="Q36" s="16">
        <f t="shared" si="3"/>
        <v>3</v>
      </c>
      <c r="R36" s="16">
        <f t="shared" ref="R36:R43" si="11">O36*(Q36/100)</f>
        <v>81.36</v>
      </c>
      <c r="S36" s="4">
        <f t="shared" si="4"/>
        <v>0</v>
      </c>
      <c r="T36" s="16">
        <f t="shared" si="9"/>
        <v>2893.36</v>
      </c>
      <c r="U36" s="20">
        <f t="shared" si="5"/>
        <v>0</v>
      </c>
      <c r="V36" s="17">
        <f t="shared" si="6"/>
        <v>150.64352655328014</v>
      </c>
      <c r="W36" s="17">
        <f t="shared" si="10"/>
        <v>3044.0035265532802</v>
      </c>
      <c r="X36" s="4"/>
    </row>
    <row r="37" spans="2:24" ht="13" x14ac:dyDescent="0.3">
      <c r="B37" s="25" t="s">
        <v>27</v>
      </c>
      <c r="C37" s="20" t="s">
        <v>28</v>
      </c>
      <c r="D37" s="6">
        <v>12</v>
      </c>
      <c r="E37" s="9"/>
      <c r="F37" s="16">
        <v>2700</v>
      </c>
      <c r="G37" s="16">
        <v>60</v>
      </c>
      <c r="H37" s="17">
        <v>8</v>
      </c>
      <c r="I37" s="16">
        <f t="shared" si="0"/>
        <v>216</v>
      </c>
      <c r="J37" s="17">
        <v>60</v>
      </c>
      <c r="K37" s="16">
        <f t="shared" si="7"/>
        <v>3036</v>
      </c>
      <c r="L37" s="20">
        <v>20</v>
      </c>
      <c r="M37" s="17">
        <v>200</v>
      </c>
      <c r="N37" s="16">
        <f t="shared" si="8"/>
        <v>3256</v>
      </c>
      <c r="O37" s="16">
        <f t="shared" si="1"/>
        <v>2712</v>
      </c>
      <c r="P37" s="16">
        <f t="shared" si="2"/>
        <v>60</v>
      </c>
      <c r="Q37" s="16">
        <f t="shared" si="3"/>
        <v>8</v>
      </c>
      <c r="R37" s="16">
        <f t="shared" si="11"/>
        <v>216.96</v>
      </c>
      <c r="S37" s="4">
        <f t="shared" si="4"/>
        <v>60</v>
      </c>
      <c r="T37" s="16">
        <f t="shared" si="9"/>
        <v>3048.96</v>
      </c>
      <c r="U37" s="20">
        <f t="shared" si="5"/>
        <v>20</v>
      </c>
      <c r="V37" s="17">
        <f t="shared" si="6"/>
        <v>200.85375494071144</v>
      </c>
      <c r="W37" s="17">
        <f t="shared" si="10"/>
        <v>3269.8137549407115</v>
      </c>
      <c r="X37" s="4"/>
    </row>
    <row r="38" spans="2:24" ht="13" x14ac:dyDescent="0.3">
      <c r="B38" s="25" t="s">
        <v>29</v>
      </c>
      <c r="C38" s="20" t="s">
        <v>28</v>
      </c>
      <c r="D38" s="6">
        <v>12</v>
      </c>
      <c r="E38" s="9"/>
      <c r="F38" s="16">
        <v>2700</v>
      </c>
      <c r="G38" s="16">
        <v>0</v>
      </c>
      <c r="H38" s="17">
        <v>0</v>
      </c>
      <c r="I38" s="16">
        <f t="shared" si="0"/>
        <v>0</v>
      </c>
      <c r="J38" s="17">
        <v>0</v>
      </c>
      <c r="K38" s="16">
        <f t="shared" si="7"/>
        <v>2700</v>
      </c>
      <c r="L38" s="20">
        <v>0</v>
      </c>
      <c r="M38" s="17">
        <v>250</v>
      </c>
      <c r="N38" s="16">
        <f t="shared" si="8"/>
        <v>2950</v>
      </c>
      <c r="O38" s="16">
        <f t="shared" si="1"/>
        <v>2712</v>
      </c>
      <c r="P38" s="16">
        <f t="shared" si="2"/>
        <v>0</v>
      </c>
      <c r="Q38" s="16">
        <f t="shared" si="3"/>
        <v>0</v>
      </c>
      <c r="R38" s="16">
        <f t="shared" si="11"/>
        <v>0</v>
      </c>
      <c r="S38" s="4">
        <f t="shared" si="4"/>
        <v>0</v>
      </c>
      <c r="T38" s="16">
        <f t="shared" si="9"/>
        <v>2712</v>
      </c>
      <c r="U38" s="20">
        <f t="shared" si="5"/>
        <v>0</v>
      </c>
      <c r="V38" s="17">
        <f t="shared" si="6"/>
        <v>251.11111111111111</v>
      </c>
      <c r="W38" s="17">
        <f t="shared" si="10"/>
        <v>2963.1111111111113</v>
      </c>
      <c r="X38" s="4"/>
    </row>
    <row r="39" spans="2:24" ht="13" x14ac:dyDescent="0.3">
      <c r="B39" s="25" t="s">
        <v>30</v>
      </c>
      <c r="C39" s="20" t="s">
        <v>31</v>
      </c>
      <c r="D39" s="10">
        <v>7</v>
      </c>
      <c r="E39" s="9">
        <v>10</v>
      </c>
      <c r="F39" s="16">
        <v>2900</v>
      </c>
      <c r="G39" s="16">
        <v>90</v>
      </c>
      <c r="H39" s="17">
        <v>8</v>
      </c>
      <c r="I39" s="16">
        <f t="shared" si="0"/>
        <v>232</v>
      </c>
      <c r="J39" s="17">
        <v>70</v>
      </c>
      <c r="K39" s="16">
        <f t="shared" si="7"/>
        <v>3292</v>
      </c>
      <c r="L39" s="20">
        <v>0</v>
      </c>
      <c r="M39" s="17">
        <v>300</v>
      </c>
      <c r="N39" s="16">
        <f t="shared" si="8"/>
        <v>3592</v>
      </c>
      <c r="O39" s="16">
        <f t="shared" si="1"/>
        <v>2907</v>
      </c>
      <c r="P39" s="16">
        <f t="shared" si="2"/>
        <v>100</v>
      </c>
      <c r="Q39" s="16">
        <f t="shared" si="3"/>
        <v>8</v>
      </c>
      <c r="R39" s="16">
        <f t="shared" si="11"/>
        <v>232.56</v>
      </c>
      <c r="S39" s="4">
        <f t="shared" si="4"/>
        <v>70</v>
      </c>
      <c r="T39" s="16">
        <f t="shared" si="9"/>
        <v>3309.56</v>
      </c>
      <c r="U39" s="20">
        <f t="shared" si="5"/>
        <v>0</v>
      </c>
      <c r="V39" s="17">
        <f t="shared" si="6"/>
        <v>301.60024301336574</v>
      </c>
      <c r="W39" s="17">
        <f t="shared" si="10"/>
        <v>3611.1602430133657</v>
      </c>
      <c r="X39" s="4"/>
    </row>
    <row r="40" spans="2:24" ht="13" x14ac:dyDescent="0.3">
      <c r="B40" s="25" t="s">
        <v>32</v>
      </c>
      <c r="C40" s="20" t="s">
        <v>33</v>
      </c>
      <c r="D40" s="88">
        <v>7</v>
      </c>
      <c r="E40" s="87"/>
      <c r="F40" s="16">
        <v>2900</v>
      </c>
      <c r="G40" s="16">
        <v>0</v>
      </c>
      <c r="H40" s="17">
        <v>0</v>
      </c>
      <c r="I40" s="16">
        <f t="shared" si="0"/>
        <v>0</v>
      </c>
      <c r="J40" s="17">
        <v>0</v>
      </c>
      <c r="K40" s="16">
        <f t="shared" si="7"/>
        <v>2900</v>
      </c>
      <c r="L40" s="20">
        <v>30</v>
      </c>
      <c r="M40" s="17">
        <v>0</v>
      </c>
      <c r="N40" s="16">
        <f t="shared" si="8"/>
        <v>2930</v>
      </c>
      <c r="O40" s="16">
        <f t="shared" si="1"/>
        <v>2907</v>
      </c>
      <c r="P40" s="16">
        <f t="shared" si="2"/>
        <v>0</v>
      </c>
      <c r="Q40" s="16">
        <f t="shared" si="3"/>
        <v>0</v>
      </c>
      <c r="R40" s="16">
        <f t="shared" si="11"/>
        <v>0</v>
      </c>
      <c r="S40" s="4">
        <f t="shared" si="4"/>
        <v>0</v>
      </c>
      <c r="T40" s="16">
        <f t="shared" si="9"/>
        <v>2907</v>
      </c>
      <c r="U40" s="20">
        <f t="shared" si="5"/>
        <v>30</v>
      </c>
      <c r="V40" s="17">
        <f t="shared" si="6"/>
        <v>0</v>
      </c>
      <c r="W40" s="17">
        <f t="shared" si="10"/>
        <v>2937</v>
      </c>
      <c r="X40" s="4"/>
    </row>
    <row r="41" spans="2:24" ht="13" x14ac:dyDescent="0.3">
      <c r="B41" s="25" t="s">
        <v>34</v>
      </c>
      <c r="C41" s="20" t="s">
        <v>33</v>
      </c>
      <c r="D41" s="88">
        <v>7</v>
      </c>
      <c r="E41" s="87"/>
      <c r="F41" s="16">
        <v>2900</v>
      </c>
      <c r="G41" s="16">
        <v>80</v>
      </c>
      <c r="H41" s="17">
        <v>8</v>
      </c>
      <c r="I41" s="16">
        <f t="shared" si="0"/>
        <v>232</v>
      </c>
      <c r="J41" s="17">
        <v>0</v>
      </c>
      <c r="K41" s="16">
        <f t="shared" si="7"/>
        <v>3212</v>
      </c>
      <c r="L41" s="20">
        <v>0</v>
      </c>
      <c r="M41" s="17">
        <v>0</v>
      </c>
      <c r="N41" s="16">
        <f t="shared" si="8"/>
        <v>3212</v>
      </c>
      <c r="O41" s="16">
        <f t="shared" si="1"/>
        <v>2907</v>
      </c>
      <c r="P41" s="16">
        <f t="shared" si="2"/>
        <v>80</v>
      </c>
      <c r="Q41" s="16">
        <f t="shared" si="3"/>
        <v>8</v>
      </c>
      <c r="R41" s="16">
        <f t="shared" si="11"/>
        <v>232.56</v>
      </c>
      <c r="S41" s="4">
        <f t="shared" si="4"/>
        <v>0</v>
      </c>
      <c r="T41" s="16">
        <f t="shared" si="9"/>
        <v>3219.56</v>
      </c>
      <c r="U41" s="20">
        <f t="shared" si="5"/>
        <v>0</v>
      </c>
      <c r="V41" s="17">
        <f t="shared" si="6"/>
        <v>0</v>
      </c>
      <c r="W41" s="17">
        <f t="shared" si="10"/>
        <v>3219.56</v>
      </c>
      <c r="X41" s="4"/>
    </row>
    <row r="42" spans="2:24" ht="13" x14ac:dyDescent="0.3">
      <c r="B42" s="25" t="s">
        <v>35</v>
      </c>
      <c r="C42" s="20" t="s">
        <v>36</v>
      </c>
      <c r="D42" s="89"/>
      <c r="E42" s="87"/>
      <c r="F42" s="16">
        <v>3000</v>
      </c>
      <c r="G42" s="16">
        <v>0</v>
      </c>
      <c r="H42" s="17">
        <v>8</v>
      </c>
      <c r="I42" s="16">
        <f t="shared" si="0"/>
        <v>240</v>
      </c>
      <c r="J42" s="17">
        <v>80</v>
      </c>
      <c r="K42" s="16">
        <f t="shared" si="7"/>
        <v>3320</v>
      </c>
      <c r="L42" s="20">
        <v>0</v>
      </c>
      <c r="M42" s="17">
        <v>400</v>
      </c>
      <c r="N42" s="16">
        <f t="shared" si="8"/>
        <v>3720</v>
      </c>
      <c r="O42" s="16">
        <f t="shared" si="1"/>
        <v>3000</v>
      </c>
      <c r="P42" s="16">
        <f t="shared" si="2"/>
        <v>0</v>
      </c>
      <c r="Q42" s="16">
        <f t="shared" si="3"/>
        <v>8</v>
      </c>
      <c r="R42" s="16">
        <f t="shared" si="11"/>
        <v>240</v>
      </c>
      <c r="S42" s="4">
        <f t="shared" si="4"/>
        <v>80</v>
      </c>
      <c r="T42" s="16">
        <f t="shared" si="9"/>
        <v>3320</v>
      </c>
      <c r="U42" s="20">
        <f t="shared" si="5"/>
        <v>0</v>
      </c>
      <c r="V42" s="17">
        <f t="shared" si="6"/>
        <v>400</v>
      </c>
      <c r="W42" s="17">
        <f t="shared" si="10"/>
        <v>3720</v>
      </c>
      <c r="X42" s="4"/>
    </row>
    <row r="43" spans="2:24" ht="13" x14ac:dyDescent="0.3">
      <c r="B43" s="25" t="s">
        <v>37</v>
      </c>
      <c r="C43" s="20" t="s">
        <v>38</v>
      </c>
      <c r="D43" s="89"/>
      <c r="E43" s="87">
        <v>10</v>
      </c>
      <c r="F43" s="16">
        <v>3500</v>
      </c>
      <c r="G43" s="16">
        <v>110</v>
      </c>
      <c r="H43" s="17">
        <v>8</v>
      </c>
      <c r="I43" s="16">
        <f t="shared" si="0"/>
        <v>280</v>
      </c>
      <c r="J43" s="17">
        <v>90</v>
      </c>
      <c r="K43" s="16">
        <f t="shared" si="7"/>
        <v>3980</v>
      </c>
      <c r="L43" s="20">
        <v>0</v>
      </c>
      <c r="M43" s="17">
        <v>0</v>
      </c>
      <c r="N43" s="16">
        <f t="shared" si="8"/>
        <v>3980</v>
      </c>
      <c r="O43" s="16">
        <f t="shared" si="1"/>
        <v>3500</v>
      </c>
      <c r="P43" s="16">
        <f t="shared" si="1"/>
        <v>120</v>
      </c>
      <c r="Q43" s="16">
        <f t="shared" si="3"/>
        <v>8</v>
      </c>
      <c r="R43" s="16">
        <f t="shared" si="11"/>
        <v>280</v>
      </c>
      <c r="S43" s="4">
        <f t="shared" si="4"/>
        <v>90</v>
      </c>
      <c r="T43" s="16">
        <f>O43+P43+R43+S43</f>
        <v>3990</v>
      </c>
      <c r="U43" s="20">
        <f t="shared" si="5"/>
        <v>0</v>
      </c>
      <c r="V43" s="17">
        <f t="shared" si="6"/>
        <v>0</v>
      </c>
      <c r="W43" s="17">
        <f t="shared" si="10"/>
        <v>3990</v>
      </c>
      <c r="X43" s="4"/>
    </row>
  </sheetData>
  <mergeCells count="9">
    <mergeCell ref="A13:O13"/>
    <mergeCell ref="A6:N6"/>
    <mergeCell ref="A7:N7"/>
    <mergeCell ref="D32:E32"/>
    <mergeCell ref="F30:G30"/>
    <mergeCell ref="O30:P30"/>
    <mergeCell ref="F26:G26"/>
    <mergeCell ref="F27:G27"/>
    <mergeCell ref="F28:G28"/>
  </mergeCell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ECF3-229F-4A05-A20E-7F806C2E348A}">
  <dimension ref="A1:X46"/>
  <sheetViews>
    <sheetView workbookViewId="0">
      <selection activeCell="Q8" sqref="Q8"/>
    </sheetView>
  </sheetViews>
  <sheetFormatPr defaultRowHeight="12.5" x14ac:dyDescent="0.25"/>
  <cols>
    <col min="2" max="2" width="9.36328125" customWidth="1"/>
    <col min="3" max="3" width="9.6328125" customWidth="1"/>
    <col min="4" max="5" width="19.36328125" customWidth="1"/>
    <col min="6" max="7" width="13" customWidth="1"/>
    <col min="8" max="8" width="14.36328125" customWidth="1"/>
    <col min="9" max="25" width="13" customWidth="1"/>
  </cols>
  <sheetData>
    <row r="1" spans="1:15" x14ac:dyDescent="0.25">
      <c r="A1" s="11" t="s">
        <v>47</v>
      </c>
      <c r="B1" s="3"/>
      <c r="C1" s="3"/>
      <c r="D1" s="3"/>
      <c r="E1" s="3"/>
      <c r="F1" s="3"/>
      <c r="G1" s="3"/>
    </row>
    <row r="2" spans="1:15" x14ac:dyDescent="0.25">
      <c r="B2" s="3"/>
      <c r="C2" s="3"/>
      <c r="D2" s="3"/>
      <c r="E2" s="3"/>
      <c r="F2" s="3"/>
      <c r="G2" s="3"/>
    </row>
    <row r="3" spans="1:15" ht="20" x14ac:dyDescent="0.4">
      <c r="A3" s="13" t="s">
        <v>90</v>
      </c>
      <c r="B3" s="3"/>
      <c r="C3" s="3"/>
      <c r="D3" s="3"/>
      <c r="E3" s="3"/>
      <c r="F3" s="3"/>
      <c r="G3" s="3"/>
    </row>
    <row r="4" spans="1:15" ht="6" customHeight="1" x14ac:dyDescent="0.4">
      <c r="A4" s="112"/>
      <c r="B4" s="3"/>
      <c r="C4" s="3"/>
      <c r="D4" s="3"/>
      <c r="E4" s="3"/>
      <c r="F4" s="3"/>
      <c r="G4" s="3"/>
    </row>
    <row r="5" spans="1:15" x14ac:dyDescent="0.25">
      <c r="B5" s="3"/>
      <c r="C5" s="3"/>
      <c r="D5" s="3"/>
      <c r="E5" s="3"/>
      <c r="F5" s="3"/>
      <c r="G5" s="3"/>
    </row>
    <row r="6" spans="1:15" ht="18" x14ac:dyDescent="0.4">
      <c r="A6" s="91" t="s">
        <v>61</v>
      </c>
      <c r="B6" s="3"/>
      <c r="C6" s="3"/>
      <c r="D6" s="3"/>
      <c r="E6" s="3"/>
      <c r="F6" s="3"/>
      <c r="G6" s="3"/>
    </row>
    <row r="7" spans="1:15" ht="51.5" customHeight="1" x14ac:dyDescent="0.25">
      <c r="A7" s="113" t="s">
        <v>62</v>
      </c>
      <c r="B7" s="113"/>
      <c r="C7" s="113"/>
      <c r="D7" s="113"/>
      <c r="E7" s="113"/>
      <c r="F7" s="113"/>
      <c r="G7" s="113"/>
      <c r="H7" s="113"/>
      <c r="I7" s="113"/>
      <c r="J7" s="113"/>
      <c r="K7" s="113"/>
      <c r="L7" s="113"/>
      <c r="M7" s="113"/>
      <c r="N7" s="113"/>
    </row>
    <row r="8" spans="1:15" ht="33" customHeight="1" x14ac:dyDescent="0.25">
      <c r="A8" s="113" t="s">
        <v>63</v>
      </c>
      <c r="B8" s="113"/>
      <c r="C8" s="113"/>
      <c r="D8" s="113"/>
      <c r="E8" s="113"/>
      <c r="F8" s="113"/>
      <c r="G8" s="113"/>
      <c r="H8" s="113"/>
      <c r="I8" s="113"/>
      <c r="J8" s="113"/>
      <c r="K8" s="113"/>
      <c r="L8" s="113"/>
      <c r="M8" s="113"/>
      <c r="N8" s="113"/>
    </row>
    <row r="9" spans="1:15" ht="15.5" x14ac:dyDescent="0.35">
      <c r="A9" s="92" t="s">
        <v>64</v>
      </c>
      <c r="C9" s="3"/>
      <c r="D9" s="3"/>
      <c r="E9" s="3"/>
      <c r="F9" s="3"/>
      <c r="G9" s="3"/>
    </row>
    <row r="10" spans="1:15" ht="15.5" x14ac:dyDescent="0.35">
      <c r="A10" s="92" t="s">
        <v>65</v>
      </c>
      <c r="C10" s="3"/>
      <c r="D10" s="3"/>
      <c r="E10" s="3"/>
      <c r="F10" s="3"/>
      <c r="G10" s="3"/>
    </row>
    <row r="11" spans="1:15" ht="15.5" x14ac:dyDescent="0.35">
      <c r="A11" s="90"/>
      <c r="B11" s="3"/>
      <c r="C11" s="3"/>
      <c r="D11" s="3"/>
      <c r="E11" s="3"/>
      <c r="F11" s="3"/>
      <c r="G11" s="3"/>
    </row>
    <row r="12" spans="1:15" ht="18" x14ac:dyDescent="0.4">
      <c r="A12" s="91" t="s">
        <v>66</v>
      </c>
      <c r="B12" s="3"/>
      <c r="C12" s="3"/>
      <c r="D12" s="3"/>
      <c r="E12" s="3"/>
      <c r="F12" s="3"/>
      <c r="G12" s="3"/>
    </row>
    <row r="13" spans="1:15" ht="15.5" x14ac:dyDescent="0.35">
      <c r="A13" s="14" t="s">
        <v>0</v>
      </c>
      <c r="B13" s="21"/>
      <c r="C13" s="21"/>
      <c r="D13" s="21"/>
      <c r="E13" s="21"/>
      <c r="F13" s="21"/>
      <c r="G13" s="21"/>
      <c r="H13" s="14"/>
      <c r="I13" s="14"/>
      <c r="J13" s="14"/>
      <c r="K13" s="14"/>
      <c r="L13" s="14"/>
      <c r="M13" s="12"/>
      <c r="N13" s="12"/>
      <c r="O13" s="12"/>
    </row>
    <row r="14" spans="1:15" ht="15.5" x14ac:dyDescent="0.25">
      <c r="A14" s="120" t="s">
        <v>1</v>
      </c>
      <c r="B14" s="121"/>
      <c r="C14" s="121"/>
      <c r="D14" s="121"/>
      <c r="E14" s="121"/>
      <c r="F14" s="121"/>
      <c r="G14" s="121"/>
      <c r="H14" s="121"/>
      <c r="I14" s="121"/>
      <c r="J14" s="121"/>
      <c r="K14" s="121"/>
      <c r="L14" s="121"/>
      <c r="M14" s="122"/>
      <c r="N14" s="122"/>
      <c r="O14" s="122"/>
    </row>
    <row r="15" spans="1:15" ht="15.5" x14ac:dyDescent="0.35">
      <c r="A15" s="22" t="s">
        <v>2</v>
      </c>
      <c r="B15" s="21"/>
      <c r="C15" s="21"/>
      <c r="D15" s="21"/>
      <c r="E15" s="21"/>
      <c r="F15" s="21"/>
      <c r="G15" s="21"/>
      <c r="H15" s="14"/>
      <c r="I15" s="14"/>
      <c r="J15" s="14"/>
      <c r="K15" s="14"/>
      <c r="L15" s="14"/>
      <c r="M15" s="12"/>
      <c r="N15" s="12"/>
      <c r="O15" s="12"/>
    </row>
    <row r="16" spans="1:15" ht="15.5" x14ac:dyDescent="0.35">
      <c r="A16" s="22" t="s">
        <v>3</v>
      </c>
      <c r="B16" s="21"/>
      <c r="C16" s="21"/>
      <c r="D16" s="21"/>
      <c r="E16" s="21"/>
      <c r="F16" s="21"/>
      <c r="G16" s="21"/>
      <c r="H16" s="14"/>
      <c r="I16" s="14"/>
      <c r="J16" s="14"/>
      <c r="K16" s="14"/>
      <c r="L16" s="14"/>
      <c r="M16" s="12"/>
      <c r="N16" s="12"/>
      <c r="O16" s="12"/>
    </row>
    <row r="17" spans="1:23" ht="15.5" x14ac:dyDescent="0.35">
      <c r="A17" s="22" t="s">
        <v>4</v>
      </c>
      <c r="B17" s="21"/>
      <c r="C17" s="21"/>
      <c r="D17" s="21"/>
      <c r="E17" s="21"/>
      <c r="F17" s="21"/>
      <c r="G17" s="21"/>
      <c r="H17" s="14"/>
      <c r="I17" s="14"/>
      <c r="J17" s="14"/>
      <c r="K17" s="14"/>
      <c r="L17" s="14"/>
      <c r="M17" s="12"/>
      <c r="N17" s="12"/>
      <c r="O17" s="12"/>
    </row>
    <row r="18" spans="1:23" ht="15.5" x14ac:dyDescent="0.35">
      <c r="A18" s="22" t="s">
        <v>5</v>
      </c>
      <c r="B18" s="21"/>
      <c r="C18" s="21"/>
      <c r="D18" s="21"/>
      <c r="E18" s="21"/>
      <c r="F18" s="21"/>
      <c r="G18" s="21"/>
      <c r="H18" s="14"/>
      <c r="I18" s="14"/>
      <c r="J18" s="14"/>
      <c r="K18" s="14"/>
      <c r="L18" s="14"/>
      <c r="M18" s="12"/>
      <c r="N18" s="12"/>
      <c r="O18" s="12"/>
    </row>
    <row r="19" spans="1:23" ht="15.5" x14ac:dyDescent="0.35">
      <c r="A19" s="14"/>
      <c r="B19" s="21"/>
      <c r="C19" s="21"/>
      <c r="D19" s="21"/>
      <c r="E19" s="21"/>
      <c r="F19" s="21"/>
      <c r="G19" s="21"/>
      <c r="H19" s="14"/>
      <c r="I19" s="14"/>
      <c r="J19" s="14"/>
      <c r="K19" s="14"/>
      <c r="L19" s="14"/>
      <c r="M19" s="12"/>
      <c r="N19" s="12"/>
      <c r="O19" s="12"/>
    </row>
    <row r="20" spans="1:23" ht="15.5" x14ac:dyDescent="0.35">
      <c r="A20" s="14" t="s">
        <v>6</v>
      </c>
      <c r="B20" s="21"/>
      <c r="C20" s="21"/>
      <c r="D20" s="21"/>
      <c r="E20" s="21"/>
      <c r="F20" s="21"/>
      <c r="G20" s="21"/>
      <c r="H20" s="14"/>
      <c r="I20" s="14"/>
      <c r="J20" s="14"/>
      <c r="K20" s="14"/>
      <c r="L20" s="14"/>
      <c r="M20" s="12"/>
      <c r="N20" s="12"/>
      <c r="O20" s="12"/>
    </row>
    <row r="21" spans="1:23" ht="15.5" x14ac:dyDescent="0.35">
      <c r="A21" s="22" t="s">
        <v>7</v>
      </c>
      <c r="B21" s="21"/>
      <c r="C21" s="21"/>
      <c r="D21" s="21"/>
      <c r="E21" s="21"/>
      <c r="F21" s="21"/>
      <c r="G21" s="21"/>
      <c r="H21" s="14"/>
      <c r="I21" s="14"/>
      <c r="J21" s="14"/>
      <c r="K21" s="14"/>
      <c r="L21" s="14"/>
      <c r="M21" s="12"/>
      <c r="N21" s="12"/>
      <c r="O21" s="12"/>
    </row>
    <row r="22" spans="1:23" ht="15.5" x14ac:dyDescent="0.35">
      <c r="A22" s="14" t="s">
        <v>8</v>
      </c>
      <c r="B22" s="21"/>
      <c r="C22" s="21"/>
      <c r="D22" s="21"/>
      <c r="E22" s="21"/>
      <c r="F22" s="21"/>
      <c r="G22" s="21"/>
      <c r="H22" s="14"/>
      <c r="I22" s="14"/>
      <c r="J22" s="14"/>
      <c r="K22" s="14"/>
      <c r="L22" s="14"/>
      <c r="M22" s="12"/>
      <c r="N22" s="12"/>
      <c r="O22" s="12"/>
    </row>
    <row r="23" spans="1:23" ht="15.5" x14ac:dyDescent="0.35">
      <c r="A23" s="14" t="s">
        <v>9</v>
      </c>
      <c r="B23" s="21"/>
      <c r="C23" s="21"/>
      <c r="D23" s="21"/>
      <c r="E23" s="21"/>
      <c r="F23" s="21"/>
      <c r="G23" s="23"/>
      <c r="H23" s="2"/>
      <c r="I23" s="2"/>
      <c r="J23" s="2"/>
      <c r="K23" s="2"/>
      <c r="L23" s="2"/>
    </row>
    <row r="24" spans="1:23" ht="15.5" x14ac:dyDescent="0.35">
      <c r="A24" s="14"/>
      <c r="B24" s="21"/>
      <c r="C24" s="21"/>
      <c r="D24" s="21"/>
      <c r="E24" s="21"/>
      <c r="F24" s="21"/>
      <c r="G24" s="23"/>
      <c r="H24" s="2"/>
      <c r="I24" s="2"/>
      <c r="J24" s="2"/>
      <c r="K24" s="2"/>
      <c r="L24" s="2"/>
    </row>
    <row r="25" spans="1:23" ht="15.5" x14ac:dyDescent="0.35">
      <c r="A25" s="14"/>
      <c r="B25" s="21"/>
      <c r="C25" s="21"/>
      <c r="D25" s="21"/>
      <c r="E25" s="21"/>
      <c r="F25" s="21"/>
      <c r="G25" s="23"/>
      <c r="H25" s="2"/>
      <c r="I25" s="2"/>
      <c r="J25" s="2"/>
      <c r="K25" s="2"/>
      <c r="L25" s="2"/>
    </row>
    <row r="26" spans="1:23" ht="16" thickBot="1" x14ac:dyDescent="0.4">
      <c r="A26" s="14"/>
      <c r="B26" s="21"/>
      <c r="C26" s="21"/>
      <c r="D26" s="21"/>
      <c r="E26" s="21"/>
      <c r="F26" s="21"/>
      <c r="G26" s="23"/>
      <c r="H26" s="2"/>
      <c r="I26" s="2"/>
      <c r="J26" s="2"/>
      <c r="K26" s="2"/>
      <c r="L26" s="2"/>
    </row>
    <row r="27" spans="1:23" ht="27" customHeight="1" thickBot="1" x14ac:dyDescent="0.4">
      <c r="A27" s="14"/>
      <c r="B27" s="49" t="s">
        <v>40</v>
      </c>
      <c r="C27" s="50"/>
      <c r="D27" s="51"/>
      <c r="E27" s="52"/>
      <c r="F27" s="127" t="s">
        <v>41</v>
      </c>
      <c r="G27" s="128"/>
      <c r="H27" s="53"/>
      <c r="I27" s="54"/>
      <c r="J27" s="54"/>
      <c r="K27" s="55" t="s">
        <v>42</v>
      </c>
      <c r="L27" s="56"/>
      <c r="M27" s="54"/>
      <c r="N27" s="57" t="s">
        <v>43</v>
      </c>
      <c r="O27" s="58" t="s">
        <v>44</v>
      </c>
      <c r="P27" s="51"/>
      <c r="Q27" s="59"/>
      <c r="R27" s="60"/>
      <c r="S27" s="35"/>
      <c r="T27" s="56"/>
      <c r="U27" s="56"/>
      <c r="V27" s="54"/>
      <c r="W27" s="61" t="s">
        <v>43</v>
      </c>
    </row>
    <row r="28" spans="1:23" ht="16" thickBot="1" x14ac:dyDescent="0.4">
      <c r="A28" s="14"/>
      <c r="B28" s="83" t="s">
        <v>45</v>
      </c>
      <c r="C28" s="84"/>
      <c r="D28" s="85"/>
      <c r="E28" s="86"/>
      <c r="F28" s="129">
        <f>SUM(D35:D44,E35:E44)</f>
        <v>85</v>
      </c>
      <c r="G28" s="130"/>
      <c r="H28" s="74"/>
      <c r="I28" s="75"/>
      <c r="J28" s="75"/>
      <c r="K28" s="76">
        <f>T31-K31</f>
        <v>88.090000000000146</v>
      </c>
      <c r="L28" s="77"/>
      <c r="M28" s="78"/>
      <c r="N28" s="79">
        <f>N31*N29/100</f>
        <v>92.597999999999999</v>
      </c>
      <c r="O28" s="80" t="s">
        <v>45</v>
      </c>
      <c r="P28" s="81"/>
      <c r="Q28" s="78"/>
      <c r="R28" s="78"/>
      <c r="S28" s="75"/>
      <c r="T28" s="77"/>
      <c r="U28" s="77"/>
      <c r="V28" s="78"/>
      <c r="W28" s="82">
        <f>W31-N31</f>
        <v>92.879553040766041</v>
      </c>
    </row>
    <row r="29" spans="1:23" ht="16" thickBot="1" x14ac:dyDescent="0.4">
      <c r="A29" s="14"/>
      <c r="B29" s="70" t="s">
        <v>46</v>
      </c>
      <c r="C29" s="71"/>
      <c r="D29" s="72"/>
      <c r="E29" s="73"/>
      <c r="F29" s="131">
        <f>(O31-F31)*100/F31</f>
        <v>0.30608570399711921</v>
      </c>
      <c r="G29" s="132"/>
      <c r="H29" s="62"/>
      <c r="I29" s="36"/>
      <c r="J29" s="36"/>
      <c r="K29" s="63">
        <f>(T31-K31)*100/K31</f>
        <v>0.29946287734566274</v>
      </c>
      <c r="L29" s="64"/>
      <c r="M29" s="65"/>
      <c r="N29" s="66">
        <v>0.3</v>
      </c>
      <c r="O29" s="67" t="s">
        <v>46</v>
      </c>
      <c r="P29" s="68"/>
      <c r="Q29" s="65"/>
      <c r="R29" s="65"/>
      <c r="S29" s="36"/>
      <c r="T29" s="64"/>
      <c r="U29" s="64"/>
      <c r="V29" s="65"/>
      <c r="W29" s="69">
        <f>(W31-N31)*100/N31</f>
        <v>0.30091217858085284</v>
      </c>
    </row>
    <row r="30" spans="1:23" ht="13" thickBot="1" x14ac:dyDescent="0.3">
      <c r="F30" s="35"/>
      <c r="K30" s="75"/>
      <c r="N30" s="75"/>
      <c r="O30" s="35"/>
    </row>
    <row r="31" spans="1:23" ht="13.5" thickBot="1" x14ac:dyDescent="0.35">
      <c r="F31" s="125">
        <f>SUM(F35:F44,G35:G44)</f>
        <v>27770</v>
      </c>
      <c r="G31" s="126"/>
      <c r="K31" s="103">
        <f>SUM(K35:K44)</f>
        <v>29416</v>
      </c>
      <c r="N31" s="103">
        <f>SUM(N35:N44)</f>
        <v>30866</v>
      </c>
      <c r="O31" s="125">
        <f>SUM(O35:O44,P35:P44)</f>
        <v>27855</v>
      </c>
      <c r="P31" s="126"/>
      <c r="T31" s="104">
        <f>SUM(T35:T44)</f>
        <v>29504.09</v>
      </c>
      <c r="W31" s="105">
        <f>SUM(W35:W44)</f>
        <v>30958.879553040766</v>
      </c>
    </row>
    <row r="32" spans="1:23" ht="15.5" x14ac:dyDescent="0.35">
      <c r="A32" s="21"/>
      <c r="C32" s="3"/>
      <c r="D32" s="37" t="s">
        <v>10</v>
      </c>
      <c r="E32" s="38"/>
      <c r="F32" s="39" t="s">
        <v>11</v>
      </c>
      <c r="G32" s="40"/>
      <c r="H32" s="40"/>
      <c r="I32" s="41"/>
      <c r="J32" s="41"/>
      <c r="K32" s="41"/>
      <c r="L32" s="41"/>
      <c r="M32" s="41"/>
      <c r="N32" s="41"/>
      <c r="O32" s="47" t="s">
        <v>12</v>
      </c>
      <c r="P32" s="42"/>
      <c r="Q32" s="42"/>
      <c r="R32" s="42"/>
      <c r="S32" s="42"/>
      <c r="T32" s="42"/>
      <c r="U32" s="42"/>
      <c r="V32" s="42"/>
      <c r="W32" s="43"/>
    </row>
    <row r="33" spans="2:24" ht="14" customHeight="1" thickBot="1" x14ac:dyDescent="0.3">
      <c r="C33" s="3"/>
      <c r="D33" s="123" t="s">
        <v>14</v>
      </c>
      <c r="E33" s="124"/>
      <c r="F33" s="44"/>
      <c r="G33" s="44"/>
      <c r="H33" s="44"/>
      <c r="I33" s="44"/>
      <c r="J33" s="44"/>
      <c r="K33" s="44"/>
      <c r="L33" s="44"/>
      <c r="M33" s="44"/>
      <c r="N33" s="48"/>
      <c r="O33" s="45"/>
      <c r="P33" s="45"/>
      <c r="Q33" s="45"/>
      <c r="R33" s="45"/>
      <c r="S33" s="45"/>
      <c r="T33" s="45"/>
      <c r="U33" s="45"/>
      <c r="V33" s="45"/>
      <c r="W33" s="46"/>
    </row>
    <row r="34" spans="2:24" ht="78.5" thickBot="1" x14ac:dyDescent="0.3">
      <c r="B34" s="30" t="s">
        <v>15</v>
      </c>
      <c r="C34" s="31" t="s">
        <v>16</v>
      </c>
      <c r="D34" s="32" t="s">
        <v>17</v>
      </c>
      <c r="E34" s="32" t="s">
        <v>18</v>
      </c>
      <c r="F34" s="32" t="s">
        <v>67</v>
      </c>
      <c r="G34" s="32" t="s">
        <v>68</v>
      </c>
      <c r="H34" s="32" t="s">
        <v>19</v>
      </c>
      <c r="I34" s="32" t="s">
        <v>69</v>
      </c>
      <c r="J34" s="32" t="s">
        <v>70</v>
      </c>
      <c r="K34" s="32" t="s">
        <v>71</v>
      </c>
      <c r="L34" s="32" t="s">
        <v>72</v>
      </c>
      <c r="M34" s="32" t="s">
        <v>73</v>
      </c>
      <c r="N34" s="32" t="s">
        <v>20</v>
      </c>
      <c r="O34" s="32" t="s">
        <v>74</v>
      </c>
      <c r="P34" s="32" t="s">
        <v>75</v>
      </c>
      <c r="Q34" s="32" t="s">
        <v>76</v>
      </c>
      <c r="R34" s="33" t="s">
        <v>77</v>
      </c>
      <c r="S34" s="32" t="s">
        <v>78</v>
      </c>
      <c r="T34" s="32" t="s">
        <v>79</v>
      </c>
      <c r="U34" s="32" t="s">
        <v>80</v>
      </c>
      <c r="V34" s="32" t="s">
        <v>81</v>
      </c>
      <c r="W34" s="34" t="s">
        <v>82</v>
      </c>
      <c r="X34" s="5"/>
    </row>
    <row r="35" spans="2:24" ht="13" x14ac:dyDescent="0.3">
      <c r="B35" s="24" t="s">
        <v>21</v>
      </c>
      <c r="C35" s="15" t="s">
        <v>22</v>
      </c>
      <c r="D35" s="7">
        <v>10</v>
      </c>
      <c r="E35" s="8"/>
      <c r="F35" s="16">
        <v>2500</v>
      </c>
      <c r="G35" s="16">
        <v>0</v>
      </c>
      <c r="H35" s="17">
        <v>0</v>
      </c>
      <c r="I35" s="16">
        <f t="shared" ref="I35:I44" si="0">F35*(H35/100)</f>
        <v>0</v>
      </c>
      <c r="J35" s="17">
        <v>0</v>
      </c>
      <c r="K35" s="18">
        <f>F35+G35+I35+J35</f>
        <v>2500</v>
      </c>
      <c r="L35" s="27">
        <v>0</v>
      </c>
      <c r="M35" s="19">
        <v>0</v>
      </c>
      <c r="N35" s="18">
        <f>SUM(K35:M35)</f>
        <v>2500</v>
      </c>
      <c r="O35" s="18">
        <f t="shared" ref="O35:P44" si="1">F35+D35</f>
        <v>2510</v>
      </c>
      <c r="P35" s="18">
        <f t="shared" si="1"/>
        <v>0</v>
      </c>
      <c r="Q35" s="16">
        <f t="shared" ref="Q35:Q44" si="2">H35</f>
        <v>0</v>
      </c>
      <c r="R35" s="18">
        <f>O35*(Q35/100)</f>
        <v>0</v>
      </c>
      <c r="S35" s="26">
        <f t="shared" ref="S35:S44" si="3">J35</f>
        <v>0</v>
      </c>
      <c r="T35" s="18">
        <f>O35+P35+R35+S35</f>
        <v>2510</v>
      </c>
      <c r="U35" s="27">
        <f t="shared" ref="U35:U44" si="4">L35</f>
        <v>0</v>
      </c>
      <c r="V35" s="19">
        <f t="shared" ref="V35:V44" si="5">(T35/K35*M35)</f>
        <v>0</v>
      </c>
      <c r="W35" s="19">
        <f>SUM(T35:V35)</f>
        <v>2510</v>
      </c>
      <c r="X35" s="4"/>
    </row>
    <row r="36" spans="2:24" ht="13" x14ac:dyDescent="0.3">
      <c r="B36" s="25" t="s">
        <v>23</v>
      </c>
      <c r="C36" s="20" t="s">
        <v>24</v>
      </c>
      <c r="D36" s="6">
        <v>6</v>
      </c>
      <c r="E36" s="9"/>
      <c r="F36" s="16">
        <v>1500</v>
      </c>
      <c r="G36" s="16">
        <v>30</v>
      </c>
      <c r="H36" s="17">
        <v>3</v>
      </c>
      <c r="I36" s="16">
        <f t="shared" si="0"/>
        <v>45</v>
      </c>
      <c r="J36" s="17">
        <v>20</v>
      </c>
      <c r="K36" s="16">
        <f t="shared" ref="K36:K44" si="6">F36+G36+I36+J36</f>
        <v>1595</v>
      </c>
      <c r="L36" s="20">
        <v>0</v>
      </c>
      <c r="M36" s="17">
        <v>100</v>
      </c>
      <c r="N36" s="16">
        <f t="shared" ref="N36:N44" si="7">SUM(K36:M36)</f>
        <v>1695</v>
      </c>
      <c r="O36" s="16">
        <f t="shared" si="1"/>
        <v>1506</v>
      </c>
      <c r="P36" s="16">
        <f t="shared" si="1"/>
        <v>30</v>
      </c>
      <c r="Q36" s="16">
        <f t="shared" si="2"/>
        <v>3</v>
      </c>
      <c r="R36" s="16">
        <f>O36*(Q36/100)</f>
        <v>45.18</v>
      </c>
      <c r="S36" s="4">
        <f t="shared" si="3"/>
        <v>20</v>
      </c>
      <c r="T36" s="16">
        <f t="shared" ref="T36:T43" si="8">O36+P36+R36+S36</f>
        <v>1601.18</v>
      </c>
      <c r="U36" s="20">
        <f t="shared" si="4"/>
        <v>0</v>
      </c>
      <c r="V36" s="17">
        <f t="shared" si="5"/>
        <v>100.38746081504704</v>
      </c>
      <c r="W36" s="17">
        <f>SUM(T36:V36)</f>
        <v>1701.5674608150471</v>
      </c>
      <c r="X36" s="4"/>
    </row>
    <row r="37" spans="2:24" ht="13" x14ac:dyDescent="0.3">
      <c r="B37" s="25" t="s">
        <v>25</v>
      </c>
      <c r="C37" s="20" t="s">
        <v>26</v>
      </c>
      <c r="D37" s="10">
        <v>9</v>
      </c>
      <c r="E37" s="9"/>
      <c r="F37" s="16">
        <v>2700</v>
      </c>
      <c r="G37" s="16">
        <v>100</v>
      </c>
      <c r="H37" s="17">
        <v>3</v>
      </c>
      <c r="I37" s="16">
        <f t="shared" si="0"/>
        <v>81</v>
      </c>
      <c r="J37" s="17">
        <v>0</v>
      </c>
      <c r="K37" s="16">
        <f t="shared" si="6"/>
        <v>2881</v>
      </c>
      <c r="L37" s="20">
        <v>0</v>
      </c>
      <c r="M37" s="17">
        <v>150</v>
      </c>
      <c r="N37" s="16">
        <f t="shared" si="7"/>
        <v>3031</v>
      </c>
      <c r="O37" s="16">
        <f t="shared" si="1"/>
        <v>2709</v>
      </c>
      <c r="P37" s="16">
        <f t="shared" si="1"/>
        <v>100</v>
      </c>
      <c r="Q37" s="16">
        <f t="shared" si="2"/>
        <v>3</v>
      </c>
      <c r="R37" s="16">
        <f t="shared" ref="R37:R44" si="9">O37*(Q37/100)</f>
        <v>81.27</v>
      </c>
      <c r="S37" s="4">
        <f t="shared" si="3"/>
        <v>0</v>
      </c>
      <c r="T37" s="16">
        <f t="shared" si="8"/>
        <v>2890.27</v>
      </c>
      <c r="U37" s="20">
        <f t="shared" si="4"/>
        <v>0</v>
      </c>
      <c r="V37" s="17">
        <f t="shared" si="5"/>
        <v>150.4826449149601</v>
      </c>
      <c r="W37" s="17">
        <f t="shared" ref="W37:W44" si="10">SUM(T37:V37)</f>
        <v>3040.75264491496</v>
      </c>
      <c r="X37" s="4"/>
    </row>
    <row r="38" spans="2:24" ht="13" x14ac:dyDescent="0.3">
      <c r="B38" s="25" t="s">
        <v>27</v>
      </c>
      <c r="C38" s="20" t="s">
        <v>28</v>
      </c>
      <c r="D38" s="6">
        <v>9</v>
      </c>
      <c r="E38" s="9"/>
      <c r="F38" s="16">
        <v>2700</v>
      </c>
      <c r="G38" s="16">
        <v>60</v>
      </c>
      <c r="H38" s="17">
        <v>8</v>
      </c>
      <c r="I38" s="16">
        <f t="shared" si="0"/>
        <v>216</v>
      </c>
      <c r="J38" s="17">
        <v>60</v>
      </c>
      <c r="K38" s="16">
        <f t="shared" si="6"/>
        <v>3036</v>
      </c>
      <c r="L38" s="20">
        <v>20</v>
      </c>
      <c r="M38" s="17">
        <v>200</v>
      </c>
      <c r="N38" s="16">
        <f t="shared" si="7"/>
        <v>3256</v>
      </c>
      <c r="O38" s="16">
        <f t="shared" si="1"/>
        <v>2709</v>
      </c>
      <c r="P38" s="16">
        <f t="shared" si="1"/>
        <v>60</v>
      </c>
      <c r="Q38" s="16">
        <f t="shared" si="2"/>
        <v>8</v>
      </c>
      <c r="R38" s="16">
        <f t="shared" si="9"/>
        <v>216.72</v>
      </c>
      <c r="S38" s="4">
        <f t="shared" si="3"/>
        <v>60</v>
      </c>
      <c r="T38" s="16">
        <f t="shared" si="8"/>
        <v>3045.72</v>
      </c>
      <c r="U38" s="20">
        <f t="shared" si="4"/>
        <v>20</v>
      </c>
      <c r="V38" s="17">
        <f t="shared" si="5"/>
        <v>200.64031620553359</v>
      </c>
      <c r="W38" s="17">
        <f t="shared" si="10"/>
        <v>3266.3603162055333</v>
      </c>
      <c r="X38" s="4"/>
    </row>
    <row r="39" spans="2:24" ht="13" x14ac:dyDescent="0.3">
      <c r="B39" s="25" t="s">
        <v>29</v>
      </c>
      <c r="C39" s="20" t="s">
        <v>28</v>
      </c>
      <c r="D39" s="6">
        <v>9</v>
      </c>
      <c r="E39" s="9"/>
      <c r="F39" s="16">
        <v>2700</v>
      </c>
      <c r="G39" s="16">
        <v>0</v>
      </c>
      <c r="H39" s="17">
        <v>0</v>
      </c>
      <c r="I39" s="16">
        <f t="shared" si="0"/>
        <v>0</v>
      </c>
      <c r="J39" s="17">
        <v>0</v>
      </c>
      <c r="K39" s="16">
        <f t="shared" si="6"/>
        <v>2700</v>
      </c>
      <c r="L39" s="20">
        <v>0</v>
      </c>
      <c r="M39" s="17">
        <v>250</v>
      </c>
      <c r="N39" s="16">
        <f t="shared" si="7"/>
        <v>2950</v>
      </c>
      <c r="O39" s="16">
        <f t="shared" si="1"/>
        <v>2709</v>
      </c>
      <c r="P39" s="16">
        <f t="shared" si="1"/>
        <v>0</v>
      </c>
      <c r="Q39" s="16">
        <f t="shared" si="2"/>
        <v>0</v>
      </c>
      <c r="R39" s="16">
        <f t="shared" si="9"/>
        <v>0</v>
      </c>
      <c r="S39" s="4">
        <f t="shared" si="3"/>
        <v>0</v>
      </c>
      <c r="T39" s="16">
        <f t="shared" si="8"/>
        <v>2709</v>
      </c>
      <c r="U39" s="20">
        <f t="shared" si="4"/>
        <v>0</v>
      </c>
      <c r="V39" s="17">
        <f t="shared" si="5"/>
        <v>250.83333333333334</v>
      </c>
      <c r="W39" s="17">
        <f t="shared" si="10"/>
        <v>2959.8333333333335</v>
      </c>
      <c r="X39" s="4"/>
    </row>
    <row r="40" spans="2:24" ht="13" x14ac:dyDescent="0.3">
      <c r="B40" s="25" t="s">
        <v>30</v>
      </c>
      <c r="C40" s="20" t="s">
        <v>31</v>
      </c>
      <c r="D40" s="10">
        <v>7</v>
      </c>
      <c r="E40" s="9">
        <v>5</v>
      </c>
      <c r="F40" s="16">
        <v>2900</v>
      </c>
      <c r="G40" s="16">
        <v>90</v>
      </c>
      <c r="H40" s="17">
        <v>8</v>
      </c>
      <c r="I40" s="16">
        <f t="shared" si="0"/>
        <v>232</v>
      </c>
      <c r="J40" s="17">
        <v>70</v>
      </c>
      <c r="K40" s="16">
        <f t="shared" si="6"/>
        <v>3292</v>
      </c>
      <c r="L40" s="20">
        <v>0</v>
      </c>
      <c r="M40" s="17">
        <v>300</v>
      </c>
      <c r="N40" s="16">
        <f t="shared" si="7"/>
        <v>3592</v>
      </c>
      <c r="O40" s="16">
        <f t="shared" si="1"/>
        <v>2907</v>
      </c>
      <c r="P40" s="16">
        <f t="shared" si="1"/>
        <v>95</v>
      </c>
      <c r="Q40" s="16">
        <f t="shared" si="2"/>
        <v>8</v>
      </c>
      <c r="R40" s="16">
        <f t="shared" si="9"/>
        <v>232.56</v>
      </c>
      <c r="S40" s="4">
        <f t="shared" si="3"/>
        <v>70</v>
      </c>
      <c r="T40" s="16">
        <f t="shared" si="8"/>
        <v>3304.56</v>
      </c>
      <c r="U40" s="20">
        <f t="shared" si="4"/>
        <v>0</v>
      </c>
      <c r="V40" s="17">
        <f t="shared" si="5"/>
        <v>301.14459295261236</v>
      </c>
      <c r="W40" s="17">
        <f t="shared" si="10"/>
        <v>3605.7045929526121</v>
      </c>
      <c r="X40" s="4"/>
    </row>
    <row r="41" spans="2:24" ht="13" x14ac:dyDescent="0.3">
      <c r="B41" s="25" t="s">
        <v>32</v>
      </c>
      <c r="C41" s="20" t="s">
        <v>33</v>
      </c>
      <c r="D41" s="88">
        <v>7</v>
      </c>
      <c r="E41" s="87"/>
      <c r="F41" s="16">
        <v>2900</v>
      </c>
      <c r="G41" s="16">
        <v>0</v>
      </c>
      <c r="H41" s="17">
        <v>0</v>
      </c>
      <c r="I41" s="16">
        <f t="shared" si="0"/>
        <v>0</v>
      </c>
      <c r="J41" s="17">
        <v>0</v>
      </c>
      <c r="K41" s="16">
        <f t="shared" si="6"/>
        <v>2900</v>
      </c>
      <c r="L41" s="20">
        <v>30</v>
      </c>
      <c r="M41" s="17">
        <v>0</v>
      </c>
      <c r="N41" s="16">
        <f t="shared" si="7"/>
        <v>2930</v>
      </c>
      <c r="O41" s="16">
        <f t="shared" si="1"/>
        <v>2907</v>
      </c>
      <c r="P41" s="16">
        <f t="shared" si="1"/>
        <v>0</v>
      </c>
      <c r="Q41" s="16">
        <f t="shared" si="2"/>
        <v>0</v>
      </c>
      <c r="R41" s="16">
        <f t="shared" si="9"/>
        <v>0</v>
      </c>
      <c r="S41" s="4">
        <f t="shared" si="3"/>
        <v>0</v>
      </c>
      <c r="T41" s="16">
        <f t="shared" si="8"/>
        <v>2907</v>
      </c>
      <c r="U41" s="20">
        <f t="shared" si="4"/>
        <v>30</v>
      </c>
      <c r="V41" s="17">
        <f t="shared" si="5"/>
        <v>0</v>
      </c>
      <c r="W41" s="17">
        <f t="shared" si="10"/>
        <v>2937</v>
      </c>
      <c r="X41" s="4"/>
    </row>
    <row r="42" spans="2:24" ht="13" x14ac:dyDescent="0.3">
      <c r="B42" s="25" t="s">
        <v>34</v>
      </c>
      <c r="C42" s="20" t="s">
        <v>33</v>
      </c>
      <c r="D42" s="88">
        <v>7</v>
      </c>
      <c r="E42" s="87"/>
      <c r="F42" s="16">
        <v>2900</v>
      </c>
      <c r="G42" s="16">
        <v>80</v>
      </c>
      <c r="H42" s="17">
        <v>8</v>
      </c>
      <c r="I42" s="16">
        <f t="shared" si="0"/>
        <v>232</v>
      </c>
      <c r="J42" s="17">
        <v>0</v>
      </c>
      <c r="K42" s="16">
        <f t="shared" si="6"/>
        <v>3212</v>
      </c>
      <c r="L42" s="20">
        <v>0</v>
      </c>
      <c r="M42" s="17">
        <v>0</v>
      </c>
      <c r="N42" s="16">
        <f t="shared" si="7"/>
        <v>3212</v>
      </c>
      <c r="O42" s="16">
        <f t="shared" si="1"/>
        <v>2907</v>
      </c>
      <c r="P42" s="16">
        <f t="shared" si="1"/>
        <v>80</v>
      </c>
      <c r="Q42" s="16">
        <f t="shared" si="2"/>
        <v>8</v>
      </c>
      <c r="R42" s="16">
        <f t="shared" si="9"/>
        <v>232.56</v>
      </c>
      <c r="S42" s="4">
        <f t="shared" si="3"/>
        <v>0</v>
      </c>
      <c r="T42" s="16">
        <f t="shared" si="8"/>
        <v>3219.56</v>
      </c>
      <c r="U42" s="20">
        <f t="shared" si="4"/>
        <v>0</v>
      </c>
      <c r="V42" s="17">
        <f t="shared" si="5"/>
        <v>0</v>
      </c>
      <c r="W42" s="17">
        <f t="shared" si="10"/>
        <v>3219.56</v>
      </c>
      <c r="X42" s="4"/>
    </row>
    <row r="43" spans="2:24" ht="13" x14ac:dyDescent="0.3">
      <c r="B43" s="25" t="s">
        <v>35</v>
      </c>
      <c r="C43" s="20" t="s">
        <v>36</v>
      </c>
      <c r="D43" s="89">
        <v>10</v>
      </c>
      <c r="E43" s="87"/>
      <c r="F43" s="16">
        <v>3000</v>
      </c>
      <c r="G43" s="16">
        <v>0</v>
      </c>
      <c r="H43" s="17">
        <v>8</v>
      </c>
      <c r="I43" s="16">
        <f t="shared" si="0"/>
        <v>240</v>
      </c>
      <c r="J43" s="17">
        <v>80</v>
      </c>
      <c r="K43" s="16">
        <f t="shared" si="6"/>
        <v>3320</v>
      </c>
      <c r="L43" s="20">
        <v>0</v>
      </c>
      <c r="M43" s="17">
        <v>400</v>
      </c>
      <c r="N43" s="16">
        <f t="shared" si="7"/>
        <v>3720</v>
      </c>
      <c r="O43" s="16">
        <f t="shared" si="1"/>
        <v>3010</v>
      </c>
      <c r="P43" s="16">
        <f t="shared" si="1"/>
        <v>0</v>
      </c>
      <c r="Q43" s="16">
        <f t="shared" si="2"/>
        <v>8</v>
      </c>
      <c r="R43" s="16">
        <f t="shared" si="9"/>
        <v>240.8</v>
      </c>
      <c r="S43" s="4">
        <f t="shared" si="3"/>
        <v>80</v>
      </c>
      <c r="T43" s="16">
        <f t="shared" si="8"/>
        <v>3330.8</v>
      </c>
      <c r="U43" s="20">
        <f t="shared" si="4"/>
        <v>0</v>
      </c>
      <c r="V43" s="17">
        <f t="shared" si="5"/>
        <v>401.30120481927713</v>
      </c>
      <c r="W43" s="17">
        <f t="shared" si="10"/>
        <v>3732.1012048192774</v>
      </c>
      <c r="X43" s="4"/>
    </row>
    <row r="44" spans="2:24" ht="13" x14ac:dyDescent="0.3">
      <c r="B44" s="25" t="s">
        <v>37</v>
      </c>
      <c r="C44" s="20" t="s">
        <v>38</v>
      </c>
      <c r="D44" s="89"/>
      <c r="E44" s="87">
        <v>6</v>
      </c>
      <c r="F44" s="16">
        <v>3500</v>
      </c>
      <c r="G44" s="16">
        <v>110</v>
      </c>
      <c r="H44" s="17">
        <v>8</v>
      </c>
      <c r="I44" s="16">
        <f t="shared" si="0"/>
        <v>280</v>
      </c>
      <c r="J44" s="17">
        <v>90</v>
      </c>
      <c r="K44" s="16">
        <f t="shared" si="6"/>
        <v>3980</v>
      </c>
      <c r="L44" s="20">
        <v>0</v>
      </c>
      <c r="M44" s="17">
        <v>0</v>
      </c>
      <c r="N44" s="16">
        <f t="shared" si="7"/>
        <v>3980</v>
      </c>
      <c r="O44" s="16">
        <f t="shared" si="1"/>
        <v>3500</v>
      </c>
      <c r="P44" s="16">
        <f t="shared" si="1"/>
        <v>116</v>
      </c>
      <c r="Q44" s="16">
        <f t="shared" si="2"/>
        <v>8</v>
      </c>
      <c r="R44" s="16">
        <f t="shared" si="9"/>
        <v>280</v>
      </c>
      <c r="S44" s="4">
        <f t="shared" si="3"/>
        <v>90</v>
      </c>
      <c r="T44" s="16">
        <f>O44+P44+R44+S44</f>
        <v>3986</v>
      </c>
      <c r="U44" s="20">
        <f t="shared" si="4"/>
        <v>0</v>
      </c>
      <c r="V44" s="17">
        <f t="shared" si="5"/>
        <v>0</v>
      </c>
      <c r="W44" s="17">
        <f t="shared" si="10"/>
        <v>3986</v>
      </c>
      <c r="X44" s="4"/>
    </row>
    <row r="45" spans="2:24" x14ac:dyDescent="0.25">
      <c r="C45" s="3"/>
      <c r="D45" s="3"/>
      <c r="E45" s="3"/>
    </row>
    <row r="46" spans="2:24" x14ac:dyDescent="0.25">
      <c r="C46" s="3"/>
      <c r="D46" s="3"/>
      <c r="E46" s="3"/>
      <c r="P46" s="11"/>
      <c r="Q46" s="11"/>
      <c r="R46" s="11"/>
      <c r="S46" s="11"/>
      <c r="T46" s="11"/>
      <c r="U46" s="11"/>
      <c r="V46" s="11"/>
    </row>
  </sheetData>
  <mergeCells count="9">
    <mergeCell ref="F29:G29"/>
    <mergeCell ref="F31:G31"/>
    <mergeCell ref="O31:P31"/>
    <mergeCell ref="D33:E33"/>
    <mergeCell ref="A7:N7"/>
    <mergeCell ref="A8:N8"/>
    <mergeCell ref="A14:O14"/>
    <mergeCell ref="F27:G27"/>
    <mergeCell ref="F28:G28"/>
  </mergeCells>
  <pageMargins left="0.7" right="0.7" top="0.75" bottom="0.75" header="0.3" footer="0.3"/>
  <pageSetup paperSize="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2440E-931A-445C-AA56-093D4E765E16}">
  <dimension ref="A1:X43"/>
  <sheetViews>
    <sheetView workbookViewId="0">
      <selection activeCell="S17" sqref="S17"/>
    </sheetView>
  </sheetViews>
  <sheetFormatPr defaultRowHeight="12.5" x14ac:dyDescent="0.25"/>
  <cols>
    <col min="2" max="2" width="9.36328125" customWidth="1"/>
    <col min="3" max="3" width="9.6328125" customWidth="1"/>
    <col min="4" max="5" width="19.36328125" customWidth="1"/>
    <col min="6" max="7" width="13" customWidth="1"/>
    <col min="8" max="8" width="14.36328125" customWidth="1"/>
    <col min="9" max="25" width="13" customWidth="1"/>
  </cols>
  <sheetData>
    <row r="1" spans="1:17" x14ac:dyDescent="0.25">
      <c r="A1" s="11" t="s">
        <v>47</v>
      </c>
      <c r="B1" s="3"/>
      <c r="C1" s="3"/>
      <c r="D1" s="3"/>
      <c r="E1" s="3"/>
      <c r="F1" s="3"/>
      <c r="G1" s="3"/>
    </row>
    <row r="2" spans="1:17" x14ac:dyDescent="0.25">
      <c r="B2" s="3"/>
      <c r="C2" s="3"/>
      <c r="D2" s="3"/>
      <c r="E2" s="3"/>
      <c r="F2" s="3"/>
      <c r="G2" s="3"/>
    </row>
    <row r="3" spans="1:17" ht="20" x14ac:dyDescent="0.4">
      <c r="A3" s="13" t="s">
        <v>83</v>
      </c>
      <c r="B3" s="3"/>
      <c r="C3" s="3"/>
      <c r="D3" s="3"/>
      <c r="E3" s="3"/>
      <c r="F3" s="3"/>
      <c r="G3" s="3"/>
    </row>
    <row r="4" spans="1:17" x14ac:dyDescent="0.25">
      <c r="B4" s="3"/>
      <c r="C4" s="3"/>
      <c r="D4" s="3"/>
      <c r="E4" s="3"/>
      <c r="F4" s="3"/>
      <c r="G4" s="3"/>
    </row>
    <row r="5" spans="1:17" ht="18" x14ac:dyDescent="0.4">
      <c r="A5" s="91" t="s">
        <v>61</v>
      </c>
      <c r="B5" s="3"/>
      <c r="C5" s="3"/>
      <c r="D5" s="3"/>
      <c r="E5" s="3"/>
      <c r="F5" s="3"/>
      <c r="G5" s="3"/>
    </row>
    <row r="6" spans="1:17" ht="15.5" x14ac:dyDescent="0.25">
      <c r="A6" s="113" t="s">
        <v>84</v>
      </c>
      <c r="B6" s="113"/>
      <c r="C6" s="113"/>
      <c r="D6" s="113"/>
      <c r="E6" s="113"/>
      <c r="F6" s="113"/>
      <c r="G6" s="113"/>
      <c r="H6" s="113"/>
      <c r="I6" s="113"/>
      <c r="J6" s="113"/>
      <c r="K6" s="113"/>
      <c r="L6" s="113"/>
      <c r="M6" s="113"/>
      <c r="N6" s="113"/>
      <c r="Q6" s="94"/>
    </row>
    <row r="7" spans="1:17" ht="33" customHeight="1" x14ac:dyDescent="0.25">
      <c r="A7" s="113" t="s">
        <v>85</v>
      </c>
      <c r="B7" s="113"/>
      <c r="C7" s="113"/>
      <c r="D7" s="113"/>
      <c r="E7" s="113"/>
      <c r="F7" s="113"/>
      <c r="G7" s="113"/>
      <c r="H7" s="113"/>
      <c r="I7" s="113"/>
      <c r="J7" s="113"/>
      <c r="K7" s="113"/>
      <c r="L7" s="113"/>
      <c r="M7" s="113"/>
      <c r="N7" s="113"/>
      <c r="Q7" s="94"/>
    </row>
    <row r="8" spans="1:17" ht="17.5" x14ac:dyDescent="0.35">
      <c r="A8" s="92" t="s">
        <v>86</v>
      </c>
      <c r="C8" s="3"/>
      <c r="D8" s="3"/>
      <c r="E8" s="3"/>
      <c r="F8" s="3"/>
      <c r="G8" s="3"/>
      <c r="Q8" s="95"/>
    </row>
    <row r="9" spans="1:17" ht="15.5" x14ac:dyDescent="0.35">
      <c r="A9" s="92"/>
      <c r="C9" s="3"/>
      <c r="D9" s="3"/>
      <c r="E9" s="3"/>
      <c r="F9" s="3"/>
      <c r="G9" s="3"/>
      <c r="Q9" s="94"/>
    </row>
    <row r="10" spans="1:17" ht="18" x14ac:dyDescent="0.4">
      <c r="A10" s="91" t="s">
        <v>66</v>
      </c>
      <c r="B10" s="3"/>
      <c r="C10" s="3"/>
      <c r="D10" s="3"/>
      <c r="E10" s="3"/>
      <c r="F10" s="3"/>
      <c r="G10" s="3"/>
      <c r="Q10" s="94"/>
    </row>
    <row r="11" spans="1:17" ht="15.5" x14ac:dyDescent="0.35">
      <c r="A11" s="14" t="s">
        <v>0</v>
      </c>
      <c r="B11" s="21"/>
      <c r="C11" s="21"/>
      <c r="D11" s="21"/>
      <c r="E11" s="21"/>
      <c r="F11" s="21"/>
      <c r="G11" s="21"/>
      <c r="H11" s="14"/>
      <c r="I11" s="14"/>
      <c r="J11" s="14"/>
      <c r="K11" s="14"/>
      <c r="L11" s="14"/>
      <c r="M11" s="12"/>
      <c r="N11" s="12"/>
      <c r="O11" s="12"/>
      <c r="Q11" s="94"/>
    </row>
    <row r="12" spans="1:17" ht="15.5" x14ac:dyDescent="0.25">
      <c r="A12" s="28" t="s">
        <v>1</v>
      </c>
      <c r="B12" s="29"/>
      <c r="C12" s="29"/>
      <c r="D12" s="29"/>
      <c r="E12" s="29"/>
      <c r="F12" s="29"/>
      <c r="G12" s="29"/>
      <c r="H12" s="29"/>
      <c r="I12" s="29"/>
      <c r="J12" s="29"/>
      <c r="K12" s="29"/>
      <c r="L12" s="29"/>
    </row>
    <row r="13" spans="1:17" ht="15.5" x14ac:dyDescent="0.35">
      <c r="A13" s="22" t="s">
        <v>2</v>
      </c>
      <c r="B13" s="21"/>
      <c r="C13" s="21"/>
      <c r="D13" s="21"/>
      <c r="E13" s="21"/>
      <c r="F13" s="21"/>
      <c r="G13" s="21"/>
      <c r="H13" s="14"/>
      <c r="I13" s="14"/>
      <c r="J13" s="14"/>
      <c r="K13" s="14"/>
      <c r="L13" s="14"/>
      <c r="M13" s="12"/>
      <c r="N13" s="12"/>
      <c r="O13" s="12"/>
    </row>
    <row r="14" spans="1:17" ht="15.5" x14ac:dyDescent="0.35">
      <c r="A14" s="22" t="s">
        <v>3</v>
      </c>
      <c r="B14" s="21"/>
      <c r="C14" s="21"/>
      <c r="D14" s="21"/>
      <c r="E14" s="21"/>
      <c r="F14" s="21"/>
      <c r="G14" s="21"/>
      <c r="H14" s="14"/>
      <c r="I14" s="14"/>
      <c r="J14" s="14"/>
      <c r="K14" s="14"/>
      <c r="L14" s="14"/>
      <c r="M14" s="12"/>
      <c r="N14" s="12"/>
      <c r="O14" s="12"/>
    </row>
    <row r="15" spans="1:17" ht="15.5" x14ac:dyDescent="0.35">
      <c r="A15" s="22" t="s">
        <v>4</v>
      </c>
      <c r="B15" s="21"/>
      <c r="C15" s="21"/>
      <c r="D15" s="21"/>
      <c r="E15" s="21"/>
      <c r="F15" s="21"/>
      <c r="G15" s="21"/>
      <c r="H15" s="14"/>
      <c r="I15" s="14"/>
      <c r="J15" s="14"/>
      <c r="K15" s="14"/>
      <c r="L15" s="14"/>
      <c r="M15" s="12"/>
      <c r="N15" s="12"/>
      <c r="O15" s="12"/>
    </row>
    <row r="16" spans="1:17" ht="15.5" x14ac:dyDescent="0.35">
      <c r="A16" s="22" t="s">
        <v>5</v>
      </c>
      <c r="B16" s="21"/>
      <c r="C16" s="21"/>
      <c r="D16" s="21"/>
      <c r="E16" s="21"/>
      <c r="F16" s="21"/>
      <c r="G16" s="21"/>
      <c r="H16" s="14"/>
      <c r="I16" s="14"/>
      <c r="J16" s="14"/>
      <c r="K16" s="14"/>
      <c r="L16" s="14"/>
      <c r="M16" s="12"/>
      <c r="N16" s="12"/>
      <c r="O16" s="12"/>
    </row>
    <row r="18" spans="1:23" ht="15.5" x14ac:dyDescent="0.35">
      <c r="A18" s="14"/>
      <c r="B18" s="21"/>
      <c r="C18" s="21"/>
      <c r="D18" s="21"/>
      <c r="E18" s="21"/>
      <c r="F18" s="21"/>
      <c r="G18" s="21"/>
      <c r="H18" s="14"/>
      <c r="I18" s="14"/>
      <c r="J18" s="14"/>
      <c r="K18" s="14"/>
      <c r="L18" s="14"/>
      <c r="M18" s="12"/>
      <c r="N18" s="12"/>
      <c r="O18" s="12"/>
    </row>
    <row r="19" spans="1:23" ht="15.5" x14ac:dyDescent="0.35">
      <c r="A19" s="14" t="s">
        <v>6</v>
      </c>
      <c r="B19" s="21"/>
      <c r="C19" s="21"/>
      <c r="D19" s="21"/>
      <c r="E19" s="21"/>
      <c r="F19" s="21"/>
      <c r="G19" s="21"/>
      <c r="H19" s="14"/>
      <c r="I19" s="14"/>
      <c r="J19" s="14"/>
      <c r="K19" s="14"/>
      <c r="L19" s="14"/>
      <c r="M19" s="12"/>
      <c r="N19" s="12"/>
      <c r="O19" s="12"/>
    </row>
    <row r="20" spans="1:23" ht="15.5" x14ac:dyDescent="0.35">
      <c r="A20" s="22" t="s">
        <v>7</v>
      </c>
      <c r="B20" s="21"/>
      <c r="C20" s="21"/>
      <c r="D20" s="21"/>
      <c r="E20" s="21"/>
      <c r="F20" s="21"/>
      <c r="G20" s="21"/>
      <c r="H20" s="14"/>
      <c r="I20" s="14"/>
      <c r="J20" s="14"/>
      <c r="K20" s="14"/>
      <c r="L20" s="14"/>
      <c r="M20" s="12"/>
      <c r="N20" s="12"/>
      <c r="O20" s="12"/>
    </row>
    <row r="21" spans="1:23" ht="15.5" x14ac:dyDescent="0.35">
      <c r="A21" s="14" t="s">
        <v>8</v>
      </c>
      <c r="B21" s="21"/>
      <c r="C21" s="21"/>
      <c r="D21" s="21"/>
      <c r="E21" s="21"/>
      <c r="F21" s="21"/>
      <c r="G21" s="21"/>
      <c r="H21" s="14"/>
      <c r="I21" s="14"/>
      <c r="J21" s="14"/>
      <c r="K21" s="14"/>
      <c r="L21" s="14"/>
      <c r="M21" s="12"/>
      <c r="N21" s="12"/>
      <c r="O21" s="12"/>
    </row>
    <row r="22" spans="1:23" ht="15.5" x14ac:dyDescent="0.35">
      <c r="A22" s="14" t="s">
        <v>9</v>
      </c>
      <c r="B22" s="21"/>
      <c r="C22" s="21"/>
      <c r="D22" s="21"/>
      <c r="E22" s="21"/>
      <c r="F22" s="21"/>
      <c r="G22" s="23"/>
      <c r="H22" s="2"/>
      <c r="I22" s="2"/>
      <c r="J22" s="2"/>
      <c r="K22" s="2"/>
      <c r="L22" s="2"/>
    </row>
    <row r="23" spans="1:23" ht="15.5" x14ac:dyDescent="0.35">
      <c r="A23" s="14"/>
      <c r="B23" s="21"/>
      <c r="C23" s="21"/>
      <c r="D23" s="21"/>
      <c r="E23" s="21"/>
      <c r="F23" s="21"/>
      <c r="G23" s="23"/>
      <c r="H23" s="2"/>
      <c r="I23" s="2"/>
      <c r="J23" s="2"/>
      <c r="K23" s="2"/>
      <c r="L23" s="2"/>
    </row>
    <row r="24" spans="1:23" ht="15.5" x14ac:dyDescent="0.35">
      <c r="A24" s="14"/>
      <c r="B24" s="21"/>
      <c r="C24" s="21"/>
      <c r="D24" s="21"/>
      <c r="E24" s="21"/>
      <c r="F24" s="21"/>
      <c r="G24" s="23"/>
      <c r="H24" s="2"/>
      <c r="I24" s="2"/>
      <c r="J24" s="2"/>
      <c r="K24" s="2"/>
      <c r="L24" s="2"/>
    </row>
    <row r="25" spans="1:23" ht="16" thickBot="1" x14ac:dyDescent="0.4">
      <c r="A25" s="14"/>
      <c r="B25" s="21"/>
      <c r="C25" s="21"/>
      <c r="D25" s="21"/>
      <c r="E25" s="21"/>
      <c r="F25" s="21"/>
      <c r="G25" s="23"/>
      <c r="H25" s="2"/>
      <c r="I25" s="2"/>
      <c r="J25" s="2"/>
      <c r="K25" s="2"/>
      <c r="L25" s="2"/>
    </row>
    <row r="26" spans="1:23" ht="27" customHeight="1" thickBot="1" x14ac:dyDescent="0.4">
      <c r="A26" s="14"/>
      <c r="B26" s="49" t="s">
        <v>40</v>
      </c>
      <c r="C26" s="50"/>
      <c r="D26" s="51"/>
      <c r="E26" s="52"/>
      <c r="F26" s="127" t="s">
        <v>41</v>
      </c>
      <c r="G26" s="128"/>
      <c r="H26" s="53"/>
      <c r="I26" s="54"/>
      <c r="J26" s="54"/>
      <c r="K26" s="55" t="s">
        <v>42</v>
      </c>
      <c r="L26" s="56"/>
      <c r="M26" s="54"/>
      <c r="N26" s="57" t="s">
        <v>43</v>
      </c>
      <c r="O26" s="58" t="s">
        <v>44</v>
      </c>
      <c r="P26" s="51"/>
      <c r="Q26" s="59"/>
      <c r="R26" s="60"/>
      <c r="S26" s="35"/>
      <c r="T26" s="56"/>
      <c r="U26" s="56"/>
      <c r="V26" s="54"/>
      <c r="W26" s="61" t="s">
        <v>43</v>
      </c>
    </row>
    <row r="27" spans="1:23" ht="16" thickBot="1" x14ac:dyDescent="0.4">
      <c r="A27" s="14"/>
      <c r="B27" s="83" t="s">
        <v>45</v>
      </c>
      <c r="C27" s="84"/>
      <c r="D27" s="85"/>
      <c r="E27" s="86"/>
      <c r="F27" s="134">
        <f>SUM(D34:D43,E34:E43)</f>
        <v>346</v>
      </c>
      <c r="G27" s="130"/>
      <c r="H27" s="74"/>
      <c r="I27" s="75"/>
      <c r="J27" s="75"/>
      <c r="K27" s="76">
        <f>T30-K30</f>
        <v>354.2599999999984</v>
      </c>
      <c r="L27" s="77"/>
      <c r="M27" s="78"/>
      <c r="N27" s="79">
        <f>N30*N28/100</f>
        <v>370.392</v>
      </c>
      <c r="O27" s="80" t="s">
        <v>45</v>
      </c>
      <c r="P27" s="81"/>
      <c r="Q27" s="78"/>
      <c r="R27" s="78"/>
      <c r="S27" s="75"/>
      <c r="T27" s="77"/>
      <c r="U27" s="77"/>
      <c r="V27" s="78"/>
      <c r="W27" s="82">
        <f>W30-N30</f>
        <v>369.64227537916304</v>
      </c>
    </row>
    <row r="28" spans="1:23" ht="16" thickBot="1" x14ac:dyDescent="0.4">
      <c r="A28" s="14"/>
      <c r="B28" s="70" t="s">
        <v>46</v>
      </c>
      <c r="C28" s="71"/>
      <c r="D28" s="72"/>
      <c r="E28" s="73"/>
      <c r="F28" s="131">
        <f>(O30-F30)*100/F30</f>
        <v>1.2459488656823912</v>
      </c>
      <c r="G28" s="132"/>
      <c r="H28" s="62"/>
      <c r="I28" s="36"/>
      <c r="J28" s="36"/>
      <c r="K28" s="63">
        <f>(T30-K30)*100/K30</f>
        <v>1.2043105792765787</v>
      </c>
      <c r="L28" s="64"/>
      <c r="M28" s="65"/>
      <c r="N28" s="66">
        <v>1.2</v>
      </c>
      <c r="O28" s="67" t="s">
        <v>46</v>
      </c>
      <c r="P28" s="68"/>
      <c r="Q28" s="65"/>
      <c r="R28" s="65"/>
      <c r="S28" s="36"/>
      <c r="T28" s="64"/>
      <c r="U28" s="64"/>
      <c r="V28" s="65"/>
      <c r="W28" s="69">
        <f>(W30-N30)*100/N30</f>
        <v>1.197571034080098</v>
      </c>
    </row>
    <row r="29" spans="1:23" ht="13" thickBot="1" x14ac:dyDescent="0.3">
      <c r="F29" s="35"/>
      <c r="K29" s="75"/>
      <c r="N29" s="75"/>
      <c r="O29" s="35"/>
    </row>
    <row r="30" spans="1:23" ht="13.5" thickBot="1" x14ac:dyDescent="0.35">
      <c r="F30" s="133">
        <f>SUM(F34:F43,G34:G43)</f>
        <v>27770</v>
      </c>
      <c r="G30" s="126"/>
      <c r="K30" s="97">
        <f>SUM(K34:K43)</f>
        <v>29416</v>
      </c>
      <c r="N30" s="97">
        <f>SUM(N34:N43)</f>
        <v>30866</v>
      </c>
      <c r="O30" s="133">
        <f>SUM(O34:O43,P34:P43)</f>
        <v>28116</v>
      </c>
      <c r="P30" s="126"/>
      <c r="T30" s="104">
        <f>SUM(T34:T43)</f>
        <v>29770.26</v>
      </c>
      <c r="W30" s="105">
        <f>SUM(W34:W43)</f>
        <v>31235.642275379163</v>
      </c>
    </row>
    <row r="31" spans="1:23" ht="15.5" x14ac:dyDescent="0.35">
      <c r="A31" s="21"/>
      <c r="C31" s="3"/>
      <c r="D31" s="37" t="s">
        <v>10</v>
      </c>
      <c r="E31" s="38"/>
      <c r="F31" s="39" t="s">
        <v>11</v>
      </c>
      <c r="G31" s="40"/>
      <c r="H31" s="40"/>
      <c r="I31" s="41"/>
      <c r="J31" s="41"/>
      <c r="K31" s="41"/>
      <c r="L31" s="41"/>
      <c r="M31" s="41"/>
      <c r="N31" s="41"/>
      <c r="O31" s="47" t="s">
        <v>12</v>
      </c>
      <c r="P31" s="42"/>
      <c r="Q31" s="42"/>
      <c r="R31" s="42"/>
      <c r="S31" s="42"/>
      <c r="T31" s="42"/>
      <c r="U31" s="42"/>
      <c r="V31" s="42"/>
      <c r="W31" s="43"/>
    </row>
    <row r="32" spans="1:23" ht="14" customHeight="1" thickBot="1" x14ac:dyDescent="0.3">
      <c r="C32" s="3"/>
      <c r="D32" s="123" t="s">
        <v>14</v>
      </c>
      <c r="E32" s="124"/>
      <c r="F32" s="44"/>
      <c r="G32" s="44"/>
      <c r="H32" s="44"/>
      <c r="I32" s="44"/>
      <c r="J32" s="44"/>
      <c r="K32" s="44"/>
      <c r="L32" s="44"/>
      <c r="M32" s="44"/>
      <c r="N32" s="48"/>
      <c r="O32" s="45"/>
      <c r="P32" s="45"/>
      <c r="Q32" s="45"/>
      <c r="R32" s="45"/>
      <c r="S32" s="45"/>
      <c r="T32" s="45"/>
      <c r="U32" s="45"/>
      <c r="V32" s="45"/>
      <c r="W32" s="46"/>
    </row>
    <row r="33" spans="2:24" ht="78.5" thickBot="1" x14ac:dyDescent="0.3">
      <c r="B33" s="30" t="s">
        <v>15</v>
      </c>
      <c r="C33" s="31" t="s">
        <v>16</v>
      </c>
      <c r="D33" s="32" t="s">
        <v>17</v>
      </c>
      <c r="E33" s="32" t="s">
        <v>18</v>
      </c>
      <c r="F33" s="32" t="s">
        <v>67</v>
      </c>
      <c r="G33" s="32" t="s">
        <v>68</v>
      </c>
      <c r="H33" s="32" t="s">
        <v>19</v>
      </c>
      <c r="I33" s="32" t="s">
        <v>69</v>
      </c>
      <c r="J33" s="32" t="s">
        <v>70</v>
      </c>
      <c r="K33" s="32" t="s">
        <v>71</v>
      </c>
      <c r="L33" s="32" t="s">
        <v>72</v>
      </c>
      <c r="M33" s="32" t="s">
        <v>73</v>
      </c>
      <c r="N33" s="32" t="s">
        <v>20</v>
      </c>
      <c r="O33" s="32" t="s">
        <v>74</v>
      </c>
      <c r="P33" s="32" t="s">
        <v>75</v>
      </c>
      <c r="Q33" s="32" t="s">
        <v>76</v>
      </c>
      <c r="R33" s="33" t="s">
        <v>77</v>
      </c>
      <c r="S33" s="32" t="s">
        <v>78</v>
      </c>
      <c r="T33" s="32" t="s">
        <v>79</v>
      </c>
      <c r="U33" s="32" t="s">
        <v>80</v>
      </c>
      <c r="V33" s="32" t="s">
        <v>81</v>
      </c>
      <c r="W33" s="34" t="s">
        <v>82</v>
      </c>
      <c r="X33" s="99" t="s">
        <v>87</v>
      </c>
    </row>
    <row r="34" spans="2:24" ht="13" x14ac:dyDescent="0.3">
      <c r="B34" s="24" t="s">
        <v>21</v>
      </c>
      <c r="C34" s="15" t="s">
        <v>22</v>
      </c>
      <c r="D34" s="7">
        <v>90</v>
      </c>
      <c r="E34" s="8"/>
      <c r="F34" s="16">
        <v>2500</v>
      </c>
      <c r="G34" s="16">
        <v>0</v>
      </c>
      <c r="H34" s="17">
        <v>0</v>
      </c>
      <c r="I34" s="16">
        <f t="shared" ref="I34:I43" si="0">F34*(H34/100)</f>
        <v>0</v>
      </c>
      <c r="J34" s="17">
        <v>0</v>
      </c>
      <c r="K34" s="18">
        <f>F34+G34+I34+J34</f>
        <v>2500</v>
      </c>
      <c r="L34" s="27">
        <v>0</v>
      </c>
      <c r="M34" s="19">
        <v>0</v>
      </c>
      <c r="N34" s="18">
        <f>SUM(K34:M34)</f>
        <v>2500</v>
      </c>
      <c r="O34" s="18">
        <f t="shared" ref="O34:P43" si="1">F34+D34</f>
        <v>2590</v>
      </c>
      <c r="P34" s="18">
        <f t="shared" si="1"/>
        <v>0</v>
      </c>
      <c r="Q34" s="16">
        <f t="shared" ref="Q34:Q43" si="2">H34</f>
        <v>0</v>
      </c>
      <c r="R34" s="18">
        <f>O34*(Q34/100)</f>
        <v>0</v>
      </c>
      <c r="S34" s="26">
        <f t="shared" ref="S34:S43" si="3">J34</f>
        <v>0</v>
      </c>
      <c r="T34" s="18">
        <f>O34+P34+R34+S34</f>
        <v>2590</v>
      </c>
      <c r="U34" s="27">
        <f t="shared" ref="U34:U43" si="4">L34</f>
        <v>0</v>
      </c>
      <c r="V34" s="19">
        <f t="shared" ref="V34:V43" si="5">(T34/K34*M34)</f>
        <v>0</v>
      </c>
      <c r="W34" s="19">
        <f>SUM(T34:V34)</f>
        <v>2590</v>
      </c>
      <c r="X34" s="4">
        <f>Järjestelyerätaulukko1113[[#This Row],[19. Kokonais-ansio]]-Järjestelyerätaulukko1113[[#This Row],[9. Kokonais-ansio]]</f>
        <v>90</v>
      </c>
    </row>
    <row r="35" spans="2:24" ht="13" x14ac:dyDescent="0.3">
      <c r="B35" s="25" t="s">
        <v>23</v>
      </c>
      <c r="C35" s="20" t="s">
        <v>24</v>
      </c>
      <c r="D35" s="6">
        <v>54</v>
      </c>
      <c r="E35" s="9"/>
      <c r="F35" s="16">
        <v>1500</v>
      </c>
      <c r="G35" s="16">
        <v>30</v>
      </c>
      <c r="H35" s="17">
        <v>3</v>
      </c>
      <c r="I35" s="16">
        <f t="shared" si="0"/>
        <v>45</v>
      </c>
      <c r="J35" s="17">
        <v>20</v>
      </c>
      <c r="K35" s="16">
        <f t="shared" ref="K35:K43" si="6">F35+G35+I35+J35</f>
        <v>1595</v>
      </c>
      <c r="L35" s="20">
        <v>0</v>
      </c>
      <c r="M35" s="17">
        <v>100</v>
      </c>
      <c r="N35" s="16">
        <f t="shared" ref="N35:N43" si="7">SUM(K35:M35)</f>
        <v>1695</v>
      </c>
      <c r="O35" s="16">
        <f t="shared" si="1"/>
        <v>1554</v>
      </c>
      <c r="P35" s="16">
        <f t="shared" si="1"/>
        <v>30</v>
      </c>
      <c r="Q35" s="16">
        <f t="shared" si="2"/>
        <v>3</v>
      </c>
      <c r="R35" s="16">
        <f>O35*(Q35/100)</f>
        <v>46.62</v>
      </c>
      <c r="S35" s="4">
        <f>J35</f>
        <v>20</v>
      </c>
      <c r="T35" s="16">
        <f t="shared" ref="T35:T42" si="8">O35+P35+R35+S35</f>
        <v>1650.62</v>
      </c>
      <c r="U35" s="20">
        <f t="shared" si="4"/>
        <v>0</v>
      </c>
      <c r="V35" s="17">
        <f>(T35/K35*M35)</f>
        <v>103.48714733542319</v>
      </c>
      <c r="W35" s="17">
        <f t="shared" ref="W35:W43" si="9">SUM(T35:V35)</f>
        <v>1754.1071473354232</v>
      </c>
      <c r="X35" s="4">
        <f>Järjestelyerätaulukko1113[[#This Row],[19. Kokonais-ansio]]-Järjestelyerätaulukko1113[[#This Row],[9. Kokonais-ansio]]</f>
        <v>59.107147335423178</v>
      </c>
    </row>
    <row r="36" spans="2:24" ht="13" x14ac:dyDescent="0.3">
      <c r="B36" s="25" t="s">
        <v>25</v>
      </c>
      <c r="C36" s="20" t="s">
        <v>26</v>
      </c>
      <c r="D36" s="10">
        <v>40</v>
      </c>
      <c r="E36" s="9"/>
      <c r="F36" s="16">
        <v>2700</v>
      </c>
      <c r="G36" s="16">
        <v>100</v>
      </c>
      <c r="H36" s="17">
        <v>3</v>
      </c>
      <c r="I36" s="16">
        <f t="shared" si="0"/>
        <v>81</v>
      </c>
      <c r="J36" s="17">
        <v>0</v>
      </c>
      <c r="K36" s="16">
        <f t="shared" si="6"/>
        <v>2881</v>
      </c>
      <c r="L36" s="20">
        <v>0</v>
      </c>
      <c r="M36" s="17">
        <v>150</v>
      </c>
      <c r="N36" s="16">
        <f t="shared" si="7"/>
        <v>3031</v>
      </c>
      <c r="O36" s="16">
        <f t="shared" si="1"/>
        <v>2740</v>
      </c>
      <c r="P36" s="16">
        <f t="shared" si="1"/>
        <v>100</v>
      </c>
      <c r="Q36" s="16">
        <f t="shared" si="2"/>
        <v>3</v>
      </c>
      <c r="R36" s="16">
        <f t="shared" ref="R36:R43" si="10">O36*(Q36/100)</f>
        <v>82.2</v>
      </c>
      <c r="S36" s="4">
        <f t="shared" si="3"/>
        <v>0</v>
      </c>
      <c r="T36" s="16">
        <f t="shared" si="8"/>
        <v>2922.2</v>
      </c>
      <c r="U36" s="20">
        <f t="shared" si="4"/>
        <v>0</v>
      </c>
      <c r="V36" s="17">
        <f t="shared" si="5"/>
        <v>152.14508851093368</v>
      </c>
      <c r="W36" s="17">
        <f t="shared" si="9"/>
        <v>3074.3450885109337</v>
      </c>
      <c r="X36" s="4">
        <f>Järjestelyerätaulukko1113[[#This Row],[19. Kokonais-ansio]]-Järjestelyerätaulukko1113[[#This Row],[9. Kokonais-ansio]]</f>
        <v>43.345088510933692</v>
      </c>
    </row>
    <row r="37" spans="2:24" ht="13" x14ac:dyDescent="0.3">
      <c r="B37" s="25" t="s">
        <v>27</v>
      </c>
      <c r="C37" s="20" t="s">
        <v>28</v>
      </c>
      <c r="D37" s="6">
        <v>40</v>
      </c>
      <c r="E37" s="9"/>
      <c r="F37" s="16">
        <v>2700</v>
      </c>
      <c r="G37" s="16">
        <v>60</v>
      </c>
      <c r="H37" s="17">
        <v>8</v>
      </c>
      <c r="I37" s="16">
        <f t="shared" si="0"/>
        <v>216</v>
      </c>
      <c r="J37" s="17">
        <v>60</v>
      </c>
      <c r="K37" s="16">
        <f t="shared" si="6"/>
        <v>3036</v>
      </c>
      <c r="L37" s="20">
        <v>20</v>
      </c>
      <c r="M37" s="17">
        <v>200</v>
      </c>
      <c r="N37" s="16">
        <f t="shared" si="7"/>
        <v>3256</v>
      </c>
      <c r="O37" s="16">
        <f t="shared" si="1"/>
        <v>2740</v>
      </c>
      <c r="P37" s="16">
        <f t="shared" si="1"/>
        <v>60</v>
      </c>
      <c r="Q37" s="16">
        <f t="shared" si="2"/>
        <v>8</v>
      </c>
      <c r="R37" s="16">
        <f t="shared" si="10"/>
        <v>219.20000000000002</v>
      </c>
      <c r="S37" s="4">
        <f t="shared" si="3"/>
        <v>60</v>
      </c>
      <c r="T37" s="16">
        <f t="shared" si="8"/>
        <v>3079.2</v>
      </c>
      <c r="U37" s="20">
        <f t="shared" si="4"/>
        <v>20</v>
      </c>
      <c r="V37" s="17">
        <f t="shared" si="5"/>
        <v>202.84584980237153</v>
      </c>
      <c r="W37" s="17">
        <f t="shared" si="9"/>
        <v>3302.0458498023713</v>
      </c>
      <c r="X37" s="4">
        <f>Järjestelyerätaulukko1113[[#This Row],[19. Kokonais-ansio]]-Järjestelyerätaulukko1113[[#This Row],[9. Kokonais-ansio]]</f>
        <v>46.045849802371322</v>
      </c>
    </row>
    <row r="38" spans="2:24" ht="13" x14ac:dyDescent="0.3">
      <c r="B38" s="25" t="s">
        <v>29</v>
      </c>
      <c r="C38" s="20" t="s">
        <v>28</v>
      </c>
      <c r="D38" s="6">
        <v>40</v>
      </c>
      <c r="E38" s="9"/>
      <c r="F38" s="16">
        <v>2700</v>
      </c>
      <c r="G38" s="16">
        <v>0</v>
      </c>
      <c r="H38" s="17">
        <v>0</v>
      </c>
      <c r="I38" s="16">
        <f t="shared" si="0"/>
        <v>0</v>
      </c>
      <c r="J38" s="17">
        <v>0</v>
      </c>
      <c r="K38" s="16">
        <f t="shared" si="6"/>
        <v>2700</v>
      </c>
      <c r="L38" s="20">
        <v>0</v>
      </c>
      <c r="M38" s="17">
        <v>250</v>
      </c>
      <c r="N38" s="16">
        <f t="shared" si="7"/>
        <v>2950</v>
      </c>
      <c r="O38" s="16">
        <f t="shared" si="1"/>
        <v>2740</v>
      </c>
      <c r="P38" s="16">
        <f t="shared" si="1"/>
        <v>0</v>
      </c>
      <c r="Q38" s="16">
        <f t="shared" si="2"/>
        <v>0</v>
      </c>
      <c r="R38" s="16">
        <f t="shared" si="10"/>
        <v>0</v>
      </c>
      <c r="S38" s="4">
        <f t="shared" si="3"/>
        <v>0</v>
      </c>
      <c r="T38" s="16">
        <f t="shared" si="8"/>
        <v>2740</v>
      </c>
      <c r="U38" s="20">
        <f t="shared" si="4"/>
        <v>0</v>
      </c>
      <c r="V38" s="17">
        <f t="shared" si="5"/>
        <v>253.7037037037037</v>
      </c>
      <c r="W38" s="17">
        <f t="shared" si="9"/>
        <v>2993.7037037037035</v>
      </c>
      <c r="X38" s="4">
        <f>Järjestelyerätaulukko1113[[#This Row],[19. Kokonais-ansio]]-Järjestelyerätaulukko1113[[#This Row],[9. Kokonais-ansio]]</f>
        <v>43.703703703703468</v>
      </c>
    </row>
    <row r="39" spans="2:24" ht="13" x14ac:dyDescent="0.3">
      <c r="B39" s="25" t="s">
        <v>30</v>
      </c>
      <c r="C39" s="20" t="s">
        <v>31</v>
      </c>
      <c r="D39" s="10">
        <v>14</v>
      </c>
      <c r="E39" s="9">
        <v>20</v>
      </c>
      <c r="F39" s="16">
        <v>2900</v>
      </c>
      <c r="G39" s="16">
        <v>90</v>
      </c>
      <c r="H39" s="17">
        <v>8</v>
      </c>
      <c r="I39" s="16">
        <f t="shared" si="0"/>
        <v>232</v>
      </c>
      <c r="J39" s="17">
        <v>70</v>
      </c>
      <c r="K39" s="16">
        <f t="shared" si="6"/>
        <v>3292</v>
      </c>
      <c r="L39" s="20">
        <v>0</v>
      </c>
      <c r="M39" s="17">
        <v>300</v>
      </c>
      <c r="N39" s="16">
        <f t="shared" si="7"/>
        <v>3592</v>
      </c>
      <c r="O39" s="16">
        <f t="shared" si="1"/>
        <v>2914</v>
      </c>
      <c r="P39" s="16">
        <f t="shared" si="1"/>
        <v>110</v>
      </c>
      <c r="Q39" s="16">
        <f t="shared" si="2"/>
        <v>8</v>
      </c>
      <c r="R39" s="16">
        <f t="shared" si="10"/>
        <v>233.12</v>
      </c>
      <c r="S39" s="4">
        <f t="shared" si="3"/>
        <v>70</v>
      </c>
      <c r="T39" s="16">
        <f t="shared" si="8"/>
        <v>3327.12</v>
      </c>
      <c r="U39" s="20">
        <f t="shared" si="4"/>
        <v>0</v>
      </c>
      <c r="V39" s="17">
        <f t="shared" si="5"/>
        <v>303.20048602673143</v>
      </c>
      <c r="W39" s="17">
        <f t="shared" si="9"/>
        <v>3630.3204860267315</v>
      </c>
      <c r="X39" s="4">
        <f>Järjestelyerätaulukko1113[[#This Row],[19. Kokonais-ansio]]-Järjestelyerätaulukko1113[[#This Row],[9. Kokonais-ansio]]</f>
        <v>38.320486026731487</v>
      </c>
    </row>
    <row r="40" spans="2:24" ht="13" x14ac:dyDescent="0.3">
      <c r="B40" s="25" t="s">
        <v>32</v>
      </c>
      <c r="C40" s="20" t="s">
        <v>33</v>
      </c>
      <c r="D40" s="88">
        <v>14</v>
      </c>
      <c r="E40" s="87"/>
      <c r="F40" s="16">
        <v>2900</v>
      </c>
      <c r="G40" s="16">
        <v>0</v>
      </c>
      <c r="H40" s="17">
        <v>0</v>
      </c>
      <c r="I40" s="16">
        <f t="shared" si="0"/>
        <v>0</v>
      </c>
      <c r="J40" s="17">
        <v>0</v>
      </c>
      <c r="K40" s="16">
        <f t="shared" si="6"/>
        <v>2900</v>
      </c>
      <c r="L40" s="20">
        <v>30</v>
      </c>
      <c r="M40" s="17">
        <v>0</v>
      </c>
      <c r="N40" s="16">
        <f t="shared" si="7"/>
        <v>2930</v>
      </c>
      <c r="O40" s="16">
        <f t="shared" si="1"/>
        <v>2914</v>
      </c>
      <c r="P40" s="16">
        <f t="shared" si="1"/>
        <v>0</v>
      </c>
      <c r="Q40" s="16">
        <f t="shared" si="2"/>
        <v>0</v>
      </c>
      <c r="R40" s="16">
        <f t="shared" si="10"/>
        <v>0</v>
      </c>
      <c r="S40" s="4">
        <f t="shared" si="3"/>
        <v>0</v>
      </c>
      <c r="T40" s="16">
        <f t="shared" si="8"/>
        <v>2914</v>
      </c>
      <c r="U40" s="20">
        <f t="shared" si="4"/>
        <v>30</v>
      </c>
      <c r="V40" s="17">
        <f t="shared" si="5"/>
        <v>0</v>
      </c>
      <c r="W40" s="17">
        <f t="shared" si="9"/>
        <v>2944</v>
      </c>
      <c r="X40" s="4">
        <f>Järjestelyerätaulukko1113[[#This Row],[19. Kokonais-ansio]]-Järjestelyerätaulukko1113[[#This Row],[9. Kokonais-ansio]]</f>
        <v>14</v>
      </c>
    </row>
    <row r="41" spans="2:24" ht="13" x14ac:dyDescent="0.3">
      <c r="B41" s="25" t="s">
        <v>34</v>
      </c>
      <c r="C41" s="20" t="s">
        <v>33</v>
      </c>
      <c r="D41" s="88">
        <v>14</v>
      </c>
      <c r="E41" s="87"/>
      <c r="F41" s="16">
        <v>2900</v>
      </c>
      <c r="G41" s="16">
        <v>80</v>
      </c>
      <c r="H41" s="17">
        <v>8</v>
      </c>
      <c r="I41" s="16">
        <f t="shared" si="0"/>
        <v>232</v>
      </c>
      <c r="J41" s="17">
        <v>0</v>
      </c>
      <c r="K41" s="16">
        <f t="shared" si="6"/>
        <v>3212</v>
      </c>
      <c r="L41" s="20">
        <v>0</v>
      </c>
      <c r="M41" s="17">
        <v>0</v>
      </c>
      <c r="N41" s="16">
        <f t="shared" si="7"/>
        <v>3212</v>
      </c>
      <c r="O41" s="16">
        <f t="shared" si="1"/>
        <v>2914</v>
      </c>
      <c r="P41" s="16">
        <f t="shared" si="1"/>
        <v>80</v>
      </c>
      <c r="Q41" s="16">
        <f t="shared" si="2"/>
        <v>8</v>
      </c>
      <c r="R41" s="16">
        <f t="shared" si="10"/>
        <v>233.12</v>
      </c>
      <c r="S41" s="4">
        <f t="shared" si="3"/>
        <v>0</v>
      </c>
      <c r="T41" s="16">
        <f t="shared" si="8"/>
        <v>3227.12</v>
      </c>
      <c r="U41" s="20">
        <f t="shared" si="4"/>
        <v>0</v>
      </c>
      <c r="V41" s="17">
        <f t="shared" si="5"/>
        <v>0</v>
      </c>
      <c r="W41" s="17">
        <f t="shared" si="9"/>
        <v>3227.12</v>
      </c>
      <c r="X41" s="4">
        <f>Järjestelyerätaulukko1113[[#This Row],[19. Kokonais-ansio]]-Järjestelyerätaulukko1113[[#This Row],[9. Kokonais-ansio]]</f>
        <v>15.119999999999891</v>
      </c>
    </row>
    <row r="42" spans="2:24" ht="13" x14ac:dyDescent="0.3">
      <c r="B42" s="25" t="s">
        <v>35</v>
      </c>
      <c r="C42" s="20" t="s">
        <v>36</v>
      </c>
      <c r="D42" s="89"/>
      <c r="E42" s="87"/>
      <c r="F42" s="16">
        <v>3000</v>
      </c>
      <c r="G42" s="16">
        <v>0</v>
      </c>
      <c r="H42" s="17">
        <v>8</v>
      </c>
      <c r="I42" s="16">
        <f t="shared" si="0"/>
        <v>240</v>
      </c>
      <c r="J42" s="17">
        <v>80</v>
      </c>
      <c r="K42" s="16">
        <f t="shared" si="6"/>
        <v>3320</v>
      </c>
      <c r="L42" s="20">
        <v>0</v>
      </c>
      <c r="M42" s="17">
        <v>400</v>
      </c>
      <c r="N42" s="16">
        <f t="shared" si="7"/>
        <v>3720</v>
      </c>
      <c r="O42" s="16">
        <f t="shared" si="1"/>
        <v>3000</v>
      </c>
      <c r="P42" s="16">
        <f t="shared" si="1"/>
        <v>0</v>
      </c>
      <c r="Q42" s="16">
        <f t="shared" si="2"/>
        <v>8</v>
      </c>
      <c r="R42" s="16">
        <f t="shared" si="10"/>
        <v>240</v>
      </c>
      <c r="S42" s="4">
        <f t="shared" si="3"/>
        <v>80</v>
      </c>
      <c r="T42" s="16">
        <f t="shared" si="8"/>
        <v>3320</v>
      </c>
      <c r="U42" s="20">
        <f t="shared" si="4"/>
        <v>0</v>
      </c>
      <c r="V42" s="17">
        <f t="shared" si="5"/>
        <v>400</v>
      </c>
      <c r="W42" s="17">
        <f t="shared" si="9"/>
        <v>3720</v>
      </c>
      <c r="X42" s="4">
        <f>Järjestelyerätaulukko1113[[#This Row],[19. Kokonais-ansio]]-Järjestelyerätaulukko1113[[#This Row],[9. Kokonais-ansio]]</f>
        <v>0</v>
      </c>
    </row>
    <row r="43" spans="2:24" ht="13" x14ac:dyDescent="0.3">
      <c r="B43" s="25" t="s">
        <v>37</v>
      </c>
      <c r="C43" s="20" t="s">
        <v>38</v>
      </c>
      <c r="D43" s="89"/>
      <c r="E43" s="87">
        <v>20</v>
      </c>
      <c r="F43" s="16">
        <v>3500</v>
      </c>
      <c r="G43" s="16">
        <v>110</v>
      </c>
      <c r="H43" s="17">
        <v>8</v>
      </c>
      <c r="I43" s="16">
        <f t="shared" si="0"/>
        <v>280</v>
      </c>
      <c r="J43" s="17">
        <v>90</v>
      </c>
      <c r="K43" s="16">
        <f t="shared" si="6"/>
        <v>3980</v>
      </c>
      <c r="L43" s="20">
        <v>0</v>
      </c>
      <c r="M43" s="17">
        <v>0</v>
      </c>
      <c r="N43" s="16">
        <f t="shared" si="7"/>
        <v>3980</v>
      </c>
      <c r="O43" s="16">
        <f t="shared" si="1"/>
        <v>3500</v>
      </c>
      <c r="P43" s="16">
        <f t="shared" si="1"/>
        <v>130</v>
      </c>
      <c r="Q43" s="16">
        <f t="shared" si="2"/>
        <v>8</v>
      </c>
      <c r="R43" s="16">
        <f t="shared" si="10"/>
        <v>280</v>
      </c>
      <c r="S43" s="4">
        <f t="shared" si="3"/>
        <v>90</v>
      </c>
      <c r="T43" s="16">
        <f>O43+P43+R43+S43</f>
        <v>4000</v>
      </c>
      <c r="U43" s="20">
        <f t="shared" si="4"/>
        <v>0</v>
      </c>
      <c r="V43" s="17">
        <f t="shared" si="5"/>
        <v>0</v>
      </c>
      <c r="W43" s="17">
        <f t="shared" si="9"/>
        <v>4000</v>
      </c>
      <c r="X43" s="4">
        <f>Järjestelyerätaulukko1113[[#This Row],[19. Kokonais-ansio]]-Järjestelyerätaulukko1113[[#This Row],[9. Kokonais-ansio]]</f>
        <v>20</v>
      </c>
    </row>
  </sheetData>
  <mergeCells count="8">
    <mergeCell ref="A6:N6"/>
    <mergeCell ref="A7:N7"/>
    <mergeCell ref="O30:P30"/>
    <mergeCell ref="D32:E32"/>
    <mergeCell ref="F26:G26"/>
    <mergeCell ref="F27:G27"/>
    <mergeCell ref="F28:G28"/>
    <mergeCell ref="F30:G30"/>
  </mergeCells>
  <phoneticPr fontId="1" type="noConversion"/>
  <pageMargins left="0.7" right="0.7" top="0.75" bottom="0.75" header="0.3" footer="0.3"/>
  <pageSetup paperSize="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1bf3e3-dc0c-4591-a74b-f379421bb89b">
      <Terms xmlns="http://schemas.microsoft.com/office/infopath/2007/PartnerControls"/>
    </lcf76f155ced4ddcb4097134ff3c332f>
    <TaxCatchAll xmlns="9127da32-a480-4262-8903-ffd37523397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3D59F3690EACB2489EF08B2FB828728C" ma:contentTypeVersion="14" ma:contentTypeDescription="Luo uusi asiakirja." ma:contentTypeScope="" ma:versionID="5dfea3933a5969d06d587de28ca92974">
  <xsd:schema xmlns:xsd="http://www.w3.org/2001/XMLSchema" xmlns:xs="http://www.w3.org/2001/XMLSchema" xmlns:p="http://schemas.microsoft.com/office/2006/metadata/properties" xmlns:ns2="431bf3e3-dc0c-4591-a74b-f379421bb89b" xmlns:ns3="9127da32-a480-4262-8903-ffd37523397b" targetNamespace="http://schemas.microsoft.com/office/2006/metadata/properties" ma:root="true" ma:fieldsID="aa083a1de0ded8cf9304bfa1ff91a9b8" ns2:_="" ns3:_="">
    <xsd:import namespace="431bf3e3-dc0c-4591-a74b-f379421bb89b"/>
    <xsd:import namespace="9127da32-a480-4262-8903-ffd3752339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bf3e3-dc0c-4591-a74b-f379421bb8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Kuvien tunnisteet" ma:readOnly="false" ma:fieldId="{5cf76f15-5ced-4ddc-b409-7134ff3c332f}" ma:taxonomyMulti="true" ma:sspId="da06f6a9-af38-4671-978e-a5ba1e33909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127da32-a480-4262-8903-ffd37523397b"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20" nillable="true" ma:displayName="Taxonomy Catch All Column" ma:hidden="true" ma:list="{7db17975-0d7f-48d8-9cc2-139273164d04}" ma:internalName="TaxCatchAll" ma:showField="CatchAllData" ma:web="9127da32-a480-4262-8903-ffd3752339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7AA0AB-B6CB-4011-B565-F26DC85BB5B7}">
  <ds:schemaRefs>
    <ds:schemaRef ds:uri="http://purl.org/dc/dcmitype/"/>
    <ds:schemaRef ds:uri="http://www.w3.org/XML/1998/namespace"/>
    <ds:schemaRef ds:uri="http://schemas.microsoft.com/office/2006/metadata/properties"/>
    <ds:schemaRef ds:uri="http://schemas.microsoft.com/office/2006/documentManagement/types"/>
    <ds:schemaRef ds:uri="9127da32-a480-4262-8903-ffd37523397b"/>
    <ds:schemaRef ds:uri="http://purl.org/dc/elements/1.1/"/>
    <ds:schemaRef ds:uri="http://schemas.microsoft.com/office/infopath/2007/PartnerControls"/>
    <ds:schemaRef ds:uri="http://schemas.openxmlformats.org/package/2006/metadata/core-properties"/>
    <ds:schemaRef ds:uri="431bf3e3-dc0c-4591-a74b-f379421bb89b"/>
    <ds:schemaRef ds:uri="http://purl.org/dc/terms/"/>
  </ds:schemaRefs>
</ds:datastoreItem>
</file>

<file path=customXml/itemProps2.xml><?xml version="1.0" encoding="utf-8"?>
<ds:datastoreItem xmlns:ds="http://schemas.openxmlformats.org/officeDocument/2006/customXml" ds:itemID="{3D920BD6-8298-422C-B546-41EB226A768E}">
  <ds:schemaRefs>
    <ds:schemaRef ds:uri="http://schemas.microsoft.com/sharepoint/v3/contenttype/forms"/>
  </ds:schemaRefs>
</ds:datastoreItem>
</file>

<file path=customXml/itemProps3.xml><?xml version="1.0" encoding="utf-8"?>
<ds:datastoreItem xmlns:ds="http://schemas.openxmlformats.org/officeDocument/2006/customXml" ds:itemID="{E7FEC58E-CA8A-46FD-8813-2A3710E521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bf3e3-dc0c-4591-a74b-f379421bb89b"/>
    <ds:schemaRef ds:uri="9127da32-a480-4262-8903-ffd3752339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Yhteenvetotaulu</vt:lpstr>
      <vt:lpstr>Järjestelyerä (0,4 %)</vt:lpstr>
      <vt:lpstr>Järjestelyerän perälauta (0,3%)</vt:lpstr>
      <vt:lpstr>Kehittämisohjelmaerä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Mallilaskuri paikallisille järjestelyerille 1.6.2023</dc:title>
  <dc:subject>KVTES:n 1.1.2019 paikallisen järjestelyerän mallilaskuri</dc:subject>
  <dc:creator/>
  <cp:keywords/>
  <dc:description/>
  <cp:lastModifiedBy/>
  <cp:revision/>
  <dcterms:created xsi:type="dcterms:W3CDTF">2018-08-24T06:39:57Z</dcterms:created>
  <dcterms:modified xsi:type="dcterms:W3CDTF">2023-03-09T14:00:03Z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0x0101003D59F3690EACB2489EF08B2FB828728C</vt:lpwstr>
  </property>
  <property fmtid="{D5CDD505-2E9C-101B-9397-08002B2CF9AE}" pid="3" name="MediaServiceImageTags">
    <vt:lpwstr/>
  </property>
</Properties>
</file>